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397030D4-6B7B-464A-9B2E-B4EF38C570CE}" xr6:coauthVersionLast="47" xr6:coauthVersionMax="47" xr10:uidLastSave="{00000000-0000-0000-0000-000000000000}"/>
  <bookViews>
    <workbookView xWindow="3420" yWindow="500" windowWidth="23260" windowHeight="13900" tabRatio="715" activeTab="3"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MOMENTUM"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H51" i="11"/>
  <c r="I51" i="11"/>
  <c r="D51" i="11"/>
  <c r="E51" i="28"/>
  <c r="F51" i="28"/>
  <c r="G51" i="28"/>
  <c r="H51" i="28"/>
  <c r="I51" i="28"/>
  <c r="D51" i="28"/>
  <c r="E51" i="27"/>
  <c r="F51" i="27"/>
  <c r="G51" i="27"/>
  <c r="H51" i="27"/>
  <c r="I51" i="27"/>
  <c r="D51" i="27"/>
  <c r="E51" i="26"/>
  <c r="F51" i="26"/>
  <c r="G51" i="26"/>
  <c r="H51" i="26"/>
  <c r="I51" i="26"/>
  <c r="D51" i="26"/>
  <c r="E51" i="23"/>
  <c r="F51" i="23"/>
  <c r="G51" i="23"/>
  <c r="H51" i="23"/>
  <c r="I51" i="23"/>
  <c r="D51" i="23"/>
  <c r="E51" i="22"/>
  <c r="F51" i="22"/>
  <c r="G51" i="22"/>
  <c r="H51" i="22"/>
  <c r="I51" i="22"/>
  <c r="D51" i="22"/>
  <c r="E51" i="21"/>
  <c r="F51" i="21"/>
  <c r="G51" i="21"/>
  <c r="H51" i="21"/>
  <c r="I51" i="21"/>
  <c r="D51" i="21"/>
  <c r="J69" i="9"/>
  <c r="E69" i="9"/>
  <c r="F69" i="9"/>
  <c r="G69" i="9"/>
  <c r="H69" i="9"/>
  <c r="I69" i="9"/>
  <c r="D69" i="9"/>
  <c r="B69" i="9"/>
  <c r="E51" i="9"/>
  <c r="F51" i="9"/>
  <c r="G51" i="9"/>
  <c r="H51" i="9"/>
  <c r="I51" i="9"/>
  <c r="J51" i="9"/>
  <c r="D51" i="9"/>
  <c r="A13" i="20"/>
  <c r="A12" i="20"/>
  <c r="L47" i="9"/>
  <c r="K47" i="9"/>
  <c r="A3" i="22" l="1"/>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C11" i="20"/>
  <c r="AB8" i="30" s="1"/>
  <c r="AC10" i="30"/>
  <c r="AD11" i="20"/>
  <c r="AC8" i="30" s="1"/>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E60" i="9"/>
  <c r="I60" i="9"/>
  <c r="J70" i="9"/>
  <c r="J71" i="9" s="1"/>
  <c r="AM11" i="20" s="1"/>
  <c r="AK8" i="30" s="1"/>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J60" i="9"/>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G57" i="11" s="1"/>
  <c r="G3"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57" i="22" s="1"/>
  <c r="I3" i="22" s="1"/>
  <c r="I4" i="27"/>
  <c r="I52" i="27" s="1"/>
  <c r="I56" i="27" s="1"/>
  <c r="I57" i="27" s="1"/>
  <c r="I3" i="27" s="1"/>
  <c r="E4" i="26"/>
  <c r="E52" i="26" s="1"/>
  <c r="E56" i="26" s="1"/>
  <c r="E57" i="26" s="1"/>
  <c r="E3" i="26" s="1"/>
  <c r="F4" i="11"/>
  <c r="F52" i="11" s="1"/>
  <c r="F56" i="11" s="1"/>
  <c r="F57" i="11" s="1"/>
  <c r="F3"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I57" i="9" s="1"/>
  <c r="I67" i="9" s="1"/>
  <c r="I48" i="9" s="1"/>
  <c r="I3" i="9" s="1"/>
  <c r="B4" i="26"/>
  <c r="G4" i="9" s="1"/>
  <c r="G52" i="9" s="1"/>
  <c r="G56" i="9" s="1"/>
  <c r="G57" i="9" s="1"/>
  <c r="G67" i="9" s="1"/>
  <c r="G48" i="9" s="1"/>
  <c r="G3"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B10" i="20"/>
  <c r="B7" i="30" s="1"/>
  <c r="B3" i="28"/>
  <c r="B9" i="20"/>
  <c r="B6" i="30" s="1"/>
  <c r="B3" i="27"/>
  <c r="B8" i="20"/>
  <c r="B5" i="30" s="1"/>
  <c r="B3" i="26"/>
  <c r="B7" i="20"/>
  <c r="B4" i="30" s="1"/>
  <c r="B3" i="23"/>
  <c r="B9" i="30"/>
  <c r="B11"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I52" i="11"/>
  <c r="I56" i="11" s="1"/>
  <c r="H52" i="11"/>
  <c r="H56" i="11" s="1"/>
  <c r="H57" i="11" s="1"/>
  <c r="H3" i="11" s="1"/>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6" i="20" l="1"/>
  <c r="B3" i="30" s="1"/>
  <c r="B3" i="22"/>
  <c r="C10" i="30"/>
  <c r="C9" i="30"/>
  <c r="C11" i="30"/>
  <c r="AB5" i="20"/>
  <c r="AA2" i="30" s="1"/>
  <c r="J34" i="9"/>
  <c r="B5" i="11"/>
  <c r="J5" i="9" s="1"/>
  <c r="B5" i="9" s="1"/>
  <c r="J6" i="9"/>
  <c r="D52" i="9"/>
  <c r="J4" i="9"/>
  <c r="B4" i="9" s="1"/>
  <c r="I57" i="11"/>
  <c r="I3" i="11"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<sst xmlns="http://schemas.openxmlformats.org/spreadsheetml/2006/main" count="2506" uniqueCount="209">
  <si>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</si>
  <si>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</si>
  <si>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</si>
  <si>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</si>
  <si>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</si>
  <si>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</si>
  <si>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</si>
  <si>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</si>
  <si>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</si>
  <si>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</si>
  <si>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</si>
  <si>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</si>
  <si>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</si>
  <si>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</si>
  <si>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</si>
  <si>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</si>
  <si>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</si>
  <si>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</si>
  <si>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</si>
  <si>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</si>
  <si>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</si>
  <si>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</si>
  <si>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</si>
  <si>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</si>
  <si>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</si>
  <si>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</si>
  <si>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</si>
  <si>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</si>
  <si>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</si>
  <si>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</si>
  <si>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</si>
  <si>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</si>
  <si>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</si>
  <si>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</si>
  <si>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</si>
  <si>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</si>
  <si>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</si>
  <si>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</si>
  <si>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</si>
  <si>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</si>
  <si>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</si>
  <si>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</si>
  <si>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</si>
  <si>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</si>
  <si>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</si>
  <si>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</si>
  <si>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</si>
  <si>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</si>
  <si>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</si>
  <si>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</si>
  <si>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</si>
  <si>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</si>
  <si>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</si>
  <si>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</si>
  <si>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</si>
  <si>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</si>
  <si>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</si>
  <si>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</si>
  <si>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</si>
  <si>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</si>
  <si>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</si>
  <si>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</si>
  <si>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</si>
  <si>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</si>
  <si>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</si>
  <si>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</si>
  <si>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</si>
  <si>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</si>
  <si>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</si>
  <si>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</si>
  <si>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</si>
  <si>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</si>
  <si>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</si>
  <si>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</si>
  <si>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</si>
  <si>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</si>
  <si>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</si>
  <si>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</si>
  <si>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</si>
  <si>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</si>
  <si>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</si>
  <si>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</si>
  <si>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</si>
  <si>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</si>
  <si>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</si>
  <si>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</si>
  <si>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</si>
  <si>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</si>
  <si>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</si>
  <si>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</si>
  <si>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</si>
  <si>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</si>
  <si>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</si>
  <si>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</si>
  <si>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</si>
  <si>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</si>
  <si>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</si>
  <si>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</si>
  <si>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</si>
  <si>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</si>
  <si>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</si>
  <si>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</si>
  <si>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</si>
  <si>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</si>
  <si>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</si>
  <si>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</si>
  <si>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</si>
  <si>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</si>
  <si>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</si>
  <si>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</si>
  <si>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</si>
  <si>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</si>
  <si>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</si>
  <si>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</si>
  <si>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</si>
  <si>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</si>
  <si>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</si>
  <si>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</si>
  <si>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</si>
  <si>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</si>
  <si>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</si>
  <si>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JULY 2025</t>
  </si>
  <si>
    <t>n</t>
  </si>
  <si>
    <t>y</t>
  </si>
  <si>
    <t>Laurent</t>
  </si>
  <si>
    <t xml:space="preserve">Couldn't find meter number so gave general info. Clear communication, pretty standard dial-a-quote. </t>
  </si>
  <si>
    <t>Brooke</t>
  </si>
  <si>
    <t>Dial-a-quote, just gave best plan. Didn't ask for sale.</t>
  </si>
  <si>
    <t>Cam</t>
  </si>
  <si>
    <t>Well structured but impersonal. Put on hold while finding meter numbers as didn't initially come up. Info about unit numbers and NMI options was confusing. Recommended contacting agent to get correct NMI. Offered a callback.</t>
  </si>
  <si>
    <t>May</t>
  </si>
  <si>
    <t>Asked name in greeting, used up front. Pretty transactional process but well structured with a good check for questions and the close was managed well.</t>
  </si>
  <si>
    <t>Josh</t>
  </si>
  <si>
    <t>Clear explanation of sign up process, warm friendly manner.</t>
  </si>
  <si>
    <t>Tash</t>
  </si>
  <si>
    <t xml:space="preserve">Bridged after already asking a bunch of questions. Established caller wasn't interested in movie perks then went on to pitch it anyway. Confusing info - explained the green plan, established that caller was happy with that. Then put on hold after realising that didn't apply for gas. Pitched an additional plan that was for both gas and electricity after saying it could just be for gas? Got confusing. Sent out quote, offer to sign caller up sounded a bit like something she'd been told she needed to do - didn't quite fit where the call was going and what the caller was expecting at that point. </t>
  </si>
  <si>
    <t>Manila</t>
  </si>
  <si>
    <t xml:space="preserve">Warm bright tone. Seemed happy to help. Plan info was a bit scripted and quite fast - hard to take in. Asked name further into the call. </t>
  </si>
  <si>
    <t>Aymi</t>
  </si>
  <si>
    <t>Polite bright manner. Following a clear structured process. Good check for questions. Explained a few things throughout. Did ask reason for not going ahead right then. Close was mostly about the post call survey.</t>
  </si>
  <si>
    <t>Alison</t>
  </si>
  <si>
    <t>Call opening was well managed - clear explanation of process, and confirmation of assistance felt natural and genuine. Did ask a leading needs question - 'what are you mostly looking for, is it lowest cost'. Very reliant on the sales system telling her what to do - 'it says here to read some plan info' etc. Offered a callback. Warm close - made it clear they were happy to help.</t>
  </si>
  <si>
    <t>Suman</t>
  </si>
  <si>
    <t xml:space="preserve">Well structured call opening, polite manner. Asked the reason for switching and what prompted her to call energy australia. Did lose energy in the close when she said she wasn't going to go ahead. </t>
  </si>
  <si>
    <t>Yash</t>
  </si>
  <si>
    <t xml:space="preserve">Good confirmation of assistance. Asked reason for switching. Warmth in his manner, polite. Let the caller know he was putting her on a quick hold but didn't ask permission to do so. </t>
  </si>
  <si>
    <t>Will</t>
  </si>
  <si>
    <t>Warm natural manner, confirmed caller was interested in cheapest option. Clear info, offereda callback.</t>
  </si>
  <si>
    <t>Winnie/ Ravi</t>
  </si>
  <si>
    <t xml:space="preserve">Caller selected the wrong option initially - first operator took a few details and transferred through to correct team. Warm transfer. Second operator used name and restated up front. Almost a statement of intent but lacked strong positive language. Conversational while looking up address info. Took some time but the time was managed well. Info was a bit clunky - could have been made a bit more concise for ease of understanding. </t>
  </si>
  <si>
    <t>Noah</t>
  </si>
  <si>
    <t>Assumed she'd be after the cheapest quote, no needs discovery. Could have kept better informed - long silence at one point where it wasn't clear what he was doing.</t>
  </si>
  <si>
    <t>April</t>
  </si>
  <si>
    <t>Offshore agent who was following a process but felt a bit awkward and stilted. A lot of keeping informed about nothing. Asked name in close.</t>
  </si>
  <si>
    <t>Julia</t>
  </si>
  <si>
    <t>Talked up the plan in a really natural way. Confirmed up front the caller was just after rates today and not signing up.  Offered a callback. Great energy and rapport from having such good energy even though there was no use of name/ needs discovery.</t>
  </si>
  <si>
    <t>Trell?</t>
  </si>
  <si>
    <t>Call opening was structured well though slightly clunky but it worked. Polite manner. Bridged and said she'd ask questions, but only asked if there was solar panels, no needs questions. Did check for questions - is there anything specific you wanted to know - which worked in this instance as she'd given clear high level plan info. Asked for callback to pricematch.</t>
  </si>
  <si>
    <t>Ankit</t>
  </si>
  <si>
    <t>Transactional - asked if they were an existing customer, then the address. Flat tone though polite enough. After getting the address, referred to the website - if she was looking for quotes, she can see them online. Did mention plan name - origin go variable, with the discounts for gas and electricity. Asked if she wanted to sign up. Did explain process for going ahead.</t>
  </si>
  <si>
    <t>Rani</t>
  </si>
  <si>
    <t xml:space="preserve">Initially couldn't hear her - some kind of audio issue on her end. Did reintroduce herself again. Asked phone number for callback. Transactional style. Hard to understand her throughout - background noise and she's very quiet, consistent through call as well as too quiet to hear in the greeting. Asked prequals but no needs (qantas frequent flier etc). Pace too fast when reading out info - made it even harder to understand her with the quiet line and background noise and her accent. Call flow seemed a bit confused. Bit pushy with close - 'I'm sure your partner will be happy'. Offered to compare rates for her on the line. </t>
  </si>
  <si>
    <t>Diupe</t>
  </si>
  <si>
    <t>No how can I help in greeting. Pace of speech very fast. Straight into the quote. Kept informed well while looking up info. Close felt rushed.</t>
  </si>
  <si>
    <t>Damien</t>
  </si>
  <si>
    <t>Lynn</t>
  </si>
  <si>
    <t>Warm manner. Almost a statement of intent - just lacked strong positive language, but seemed happy to help. Bit of a dial-a-quote. Asked the usual prequals (solar etc) then pitched 'headline offer' but not rates. Didn't give a lot of info.</t>
  </si>
  <si>
    <t>David</t>
  </si>
  <si>
    <t xml:space="preserve">Warm manner, clear and natural sounding confirmation of assistance and restated up front. Needs discovery was one question - 'you're looking for cheap, cost effective, yeah?'.  Bridge happened after the needs confirmation - needed to do this earlier. Validated caller's need to shopping around. Offered a callback. </t>
  </si>
  <si>
    <t>Neil</t>
  </si>
  <si>
    <t xml:space="preserve">Attempted a bridge - 'to help you further, I'll ask you some questions and read you some terms and conditions' made it sound process focussed and not caller focussed. Asked name a bit later in the call. Long hold while checking address. Forgot that caller just wanted a quote and went into signup process. Caller said she wanted a quote first, he said 'oh sorry I remember now'. Offered a callback. </t>
  </si>
  <si>
    <t>Sunny</t>
  </si>
  <si>
    <t>Straight into asking address, transactional feeling beginning though did ask how the caller was in the greeting. Put on hold after confirming she hadn't had an account with Origin before - didn't explain why. No needs discovery 0 pitched a plan, read out rates. No hand holding for caller who hadn't done this before. Awkward close - did eventually thank the caller for her time but didn't save it.</t>
  </si>
  <si>
    <t>Vivienne</t>
  </si>
  <si>
    <t>Sounded bored initially - got better later in the call the close was flat again after caller said they didn't want to go ahead. Kept informed well through the process. Good info about process and fees, specially for someone who didn't have much experience with the industry. Checked for questions. Offered to look up other companies online. Offered to save it as a quote. Close had nice words but hung up before caller could respond.</t>
  </si>
  <si>
    <t>Alan</t>
  </si>
  <si>
    <t>Humourous and conversational manner, caller appreciated that. Engaged over the location the caller was moving to. Good info about how to move forward - getting correct meter numbers. Established early the caller couldn't sign up as the meter number wasn't clear. Could have done more to keep the caller in the loop as a sales close - offer to email out the info was good but also needed some clear next steps so the caller knew what was expected from there, eg 'so when you've found the meter number and had a chat with your partner, give us a call back and we'll do x and y to get you set up'.</t>
  </si>
  <si>
    <t>Warm friendly manner, statement of intent was clear. Bridge was great - clear how the call was going to go from there. Clear info about the plan and why he was suggesting that one. Asked if there was anything else he could cover (check for questions) as part of the sales close. Good tips for when she was shopping around. Offered to email out quote. Conversational manner throughout.</t>
  </si>
  <si>
    <t>Bright friendly tone, seemed happy to help. Standard momentum process. Did check for questions - but towards the end of the call. Would have been better to do this earlier as caller was new to everything. Caller took it  as the 'anything else I can do' section of the call, winding things up. Operator offered her direct line for a callback.</t>
  </si>
  <si>
    <t>Aditi</t>
  </si>
  <si>
    <t>Maria</t>
  </si>
  <si>
    <t>Unclear</t>
  </si>
  <si>
    <t>Restate &amp; confirm up front. Asked name early enough in call for it to count. Pleasant manner, following a clear process. Kept informed well while loading rates. Close had all the elements but she ended the call before the caller could acknowledge the thanks, so was let down by the rush - n for thanks and n for call management. Dial a quote.</t>
  </si>
  <si>
    <t>Said her name too fast to understand. Attempted a statement of intent but sounded very scripted. Bridge was present but also quiite scripted. Y for bridge as it was clear how the call would go but N for intent as it didn't have the emotional impact. Delivery n as sounded very scripted and accent made it hard to understand in places. Offered a callback. Thanked for calling but sounded scripted and not genuine.</t>
  </si>
  <si>
    <t>Michael</t>
  </si>
  <si>
    <t xml:space="preserve">Transactional - right into 'what address are you moving to'. Questions were closed and not about needs. Tone a bit flat because of the transactional nature of his delivery. Could have better kept informed through long silence while looking up adress details. Did do this better later in the call. Gave estimates and % below the default and some plan info. Sounded like he was reading it out. Info provided was actually quite good, but delivery left a bit to be desired. Info got more tailored late in the call when he explained the process. </t>
  </si>
  <si>
    <t>Darrel</t>
  </si>
  <si>
    <t>Following a clear process. Call opening was managed well - little bit offshore scripted sounding but polite and clear. Little bit of a verbal brochure - gave so many rates (before the discount and with the discount) which made it pretty long and boring to listen to all those numbers. Hard to take in. Offered a callback.</t>
  </si>
  <si>
    <t>Daniel</t>
  </si>
  <si>
    <t>Half a statement of intent - 'absolutely'. Polite manner but pretty transactional. Pitched 'cheapest plan' with no needs discovery.  Looong silence while bringing up gas - did say he was bringing that up but probably needed to check in again, had to check the recording was still playing. Dial-a-quote - just gave prices, no attempt to close.</t>
  </si>
  <si>
    <t>James</t>
  </si>
  <si>
    <t>Good statement of intent up front, though didn't use name. Warm tone and manner. Bridge came later in the call - after asking address details. Info was explained pretty clearly though a lot of numbers to take in. Offered a callback. Close was more caller-directed than operator directed - could have asked if she'd gotten everything she needed and thanked for time/call.</t>
  </si>
  <si>
    <t>Roman</t>
  </si>
  <si>
    <t xml:space="preserve">Restate and confirm up front including using her name. Warm manner, wove the red energy story through the call well. Good check for questions throughout the explanations. Clear explanation of connection process. Offered to email out copy of the offer. Offered further discount to sign up on the spot. </t>
  </si>
  <si>
    <t>Herbert</t>
  </si>
  <si>
    <t>Polite manner, though had the over-wordy offshore thing going on a bit. Pitched best plan - no needs discovery. Didn't really empathise with caller's concerns about how things were getting more expensive. Process felt long, could have been a bit more efficient. Gave rates - dial-a-quote style, no real other info about the plan.</t>
  </si>
  <si>
    <t>Lucy</t>
  </si>
  <si>
    <t xml:space="preserve">A lot of personality. Did call customer love. Advised she only ever gave the cheapest option which worked for this caller but meant she did no needs discovery. Explained the different rates in a clear and creative way. </t>
  </si>
  <si>
    <t>Shay</t>
  </si>
  <si>
    <t>Well structured opening though didn't ask for name. Advised power had been disconnected at that address, put on hold to see if they had the billing rights to reconnect it. Advised they didn't, couldn't connect it and would have to contact distributor. Offered distributor phone number &amp; to send plans via email.</t>
  </si>
  <si>
    <t>Juju</t>
  </si>
  <si>
    <t>Polite manner, but process focussed - not very engaging. Didn't empathise with caller's concerns re switching from their current provider. Asked name later in conversation. Put on hold while checking 'best plan'. Hold music stopped after a minute, caller waited another 5 minutes of silence before hanging up.</t>
  </si>
  <si>
    <t>Rani?</t>
  </si>
  <si>
    <t>Audio quality a bit weird for the first couple of seconds, hard to hear. Fine after that. 'No worries' in place of a statement of intent. Asked name after getting phone number in case call dropped out. Did use it early enough to count but borderline. Tailored info - heard the kid in the background, told caller about zoo membership perk. Persistent close. Did the 'your partner will be happy' thing. Offered to check other rates for her. Bit pushy.</t>
  </si>
  <si>
    <t>Ron</t>
  </si>
  <si>
    <t>Missed opportunity for a statement of intent - 'fair enough'. Good energy, warm and engaging. Straight into asking address details. Kept informed well as to what he was doing to help. Put on hold while checking an error that came up - managed hold process well. Advised address needed the previous supplier to turn the power back on, then could switch at that point. Advised he could continue with gas and organise a callback for electricity. Good bridge at this point - advised he'd need to ask some questions to find the best plan, then he could send out a quote. Sounded like had someone training him in the background - he did well. Questions asked were pre-qualifiers more than around needs. Offered a callback.</t>
  </si>
  <si>
    <t>Jacob</t>
  </si>
  <si>
    <t>Attempted a statement of intent but talked over the caller and used 'no worries'. Asked name for quote, did use it at that point. Standard spiel about the plan and how it worked, read out rates. Natural manner.</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</si>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</sst>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1" fillId="0" borderId="0" applyFont="0" applyFill="0" applyBorder="0" applyAlignment="0" applyProtection="0"/>
    <xf numFmtId="0" fontId="38" fillId="0" borderId="0"/>
  </cellStyleXfs>
  <cellXfs count="352">
    <xf numFmtId="0" fontId="0" fillId="0" borderId="0" xfId="0"/>
    <xf numFmtId="9" fontId="16" fillId="3" borderId="1" xfId="0" applyNumberFormat="1" applyFont="1" applyFill="1" applyBorder="1" applyAlignment="1">
      <alignment horizontal="center" vertical="center"/>
    </xf>
    <xf numFmtId="0" fontId="17" fillId="4" borderId="0" xfId="0" applyFont="1" applyFill="1" applyAlignment="1">
      <alignment horizontal="right" vertical="center"/>
    </xf>
    <xf numFmtId="9" fontId="0" fillId="2" borderId="2" xfId="1" applyFont="1" applyFill="1" applyBorder="1" applyAlignment="1">
      <alignment horizontal="center" vertical="center"/>
    </xf>
    <xf numFmtId="0" fontId="15" fillId="0" borderId="0" xfId="0" applyFont="1"/>
    <xf numFmtId="0" fontId="19" fillId="4" borderId="0" xfId="0" applyFont="1" applyFill="1" applyAlignment="1">
      <alignment horizontal="right" vertical="center"/>
    </xf>
    <xf numFmtId="9" fontId="0" fillId="2" borderId="0" xfId="1" applyFont="1" applyFill="1" applyBorder="1" applyAlignment="1">
      <alignment horizontal="center" vertical="center"/>
    </xf>
    <xf numFmtId="9" fontId="22" fillId="6" borderId="3" xfId="0" applyNumberFormat="1" applyFont="1" applyFill="1" applyBorder="1" applyAlignment="1">
      <alignment horizontal="center"/>
    </xf>
    <xf numFmtId="0" fontId="22" fillId="6" borderId="4" xfId="0" applyFont="1" applyFill="1" applyBorder="1" applyAlignment="1">
      <alignment horizontal="center"/>
    </xf>
    <xf numFmtId="0" fontId="22" fillId="6" borderId="5" xfId="0" applyFont="1" applyFill="1" applyBorder="1" applyAlignment="1">
      <alignment horizontal="center"/>
    </xf>
    <xf numFmtId="9" fontId="16" fillId="0" borderId="1" xfId="0" applyNumberFormat="1" applyFont="1" applyBorder="1" applyAlignment="1">
      <alignment horizontal="center" vertical="center"/>
    </xf>
    <xf numFmtId="0" fontId="25" fillId="12" borderId="3" xfId="0" applyFont="1" applyFill="1" applyBorder="1" applyAlignment="1">
      <alignment horizontal="center" vertical="center"/>
    </xf>
    <xf numFmtId="0" fontId="26" fillId="13" borderId="3" xfId="0" applyFont="1" applyFill="1" applyBorder="1" applyAlignment="1">
      <alignment horizontal="center" vertical="center"/>
    </xf>
    <xf numFmtId="0" fontId="25" fillId="7" borderId="4" xfId="0" applyFont="1" applyFill="1" applyBorder="1" applyAlignment="1">
      <alignment horizontal="center" vertical="center"/>
    </xf>
    <xf numFmtId="0" fontId="25" fillId="9" borderId="5" xfId="0" applyFont="1" applyFill="1" applyBorder="1" applyAlignment="1">
      <alignment horizontal="center" vertical="center"/>
    </xf>
    <xf numFmtId="0" fontId="25" fillId="5" borderId="5" xfId="0" applyFont="1" applyFill="1" applyBorder="1" applyAlignment="1">
      <alignment horizontal="center" vertical="center"/>
    </xf>
    <xf numFmtId="0" fontId="28" fillId="14" borderId="7" xfId="0" applyFont="1" applyFill="1" applyBorder="1" applyAlignment="1">
      <alignment horizontal="center"/>
    </xf>
    <xf numFmtId="0" fontId="24" fillId="14" borderId="0" xfId="0" applyFont="1" applyFill="1" applyAlignment="1">
      <alignment horizontal="right" vertical="center"/>
    </xf>
    <xf numFmtId="9" fontId="0" fillId="2" borderId="8" xfId="1" applyFont="1" applyFill="1" applyBorder="1" applyAlignment="1">
      <alignment horizontal="right" vertical="center"/>
    </xf>
    <xf numFmtId="0" fontId="27" fillId="15" borderId="0" xfId="0" applyFont="1" applyFill="1" applyAlignment="1">
      <alignment vertical="center"/>
    </xf>
    <xf numFmtId="0" fontId="29" fillId="16" borderId="0" xfId="0" applyFont="1" applyFill="1" applyAlignment="1">
      <alignment horizontal="right" vertical="center"/>
    </xf>
    <xf numFmtId="9" fontId="12" fillId="17" borderId="1" xfId="0" applyNumberFormat="1" applyFont="1" applyFill="1" applyBorder="1" applyAlignment="1">
      <alignment horizontal="center" vertical="center"/>
    </xf>
    <xf numFmtId="0" fontId="30" fillId="14" borderId="6" xfId="0" applyFont="1" applyFill="1" applyBorder="1" applyAlignment="1">
      <alignment vertical="center"/>
    </xf>
    <xf numFmtId="9" fontId="32" fillId="11" borderId="1" xfId="0" applyNumberFormat="1" applyFont="1" applyFill="1" applyBorder="1" applyAlignment="1">
      <alignment horizontal="left" vertical="top" wrapText="1"/>
    </xf>
    <xf numFmtId="1" fontId="21" fillId="15" borderId="2" xfId="1" applyNumberFormat="1" applyFont="1" applyFill="1" applyBorder="1" applyAlignment="1">
      <alignment horizontal="center" vertical="center"/>
    </xf>
    <xf numFmtId="0" fontId="29" fillId="0" borderId="0" xfId="0" applyFont="1" applyAlignment="1">
      <alignment vertical="center"/>
    </xf>
    <xf numFmtId="1" fontId="15" fillId="3" borderId="2" xfId="1" applyNumberFormat="1" applyFont="1" applyFill="1" applyBorder="1" applyAlignment="1">
      <alignment horizontal="center" vertical="center"/>
    </xf>
    <xf numFmtId="1" fontId="18" fillId="3" borderId="0" xfId="0" applyNumberFormat="1" applyFont="1" applyFill="1" applyAlignment="1">
      <alignment horizontal="center" vertical="center"/>
    </xf>
    <xf numFmtId="9" fontId="31" fillId="18" borderId="1" xfId="0" applyNumberFormat="1" applyFont="1" applyFill="1" applyBorder="1" applyAlignment="1">
      <alignment horizontal="center" vertical="center"/>
    </xf>
    <xf numFmtId="9" fontId="31" fillId="18" borderId="1" xfId="1" applyFont="1" applyFill="1" applyBorder="1" applyAlignment="1">
      <alignment horizontal="center" vertical="center"/>
    </xf>
    <xf numFmtId="9" fontId="12" fillId="10" borderId="1" xfId="0" applyNumberFormat="1" applyFont="1" applyFill="1" applyBorder="1" applyAlignment="1">
      <alignment horizontal="center" vertical="center"/>
    </xf>
    <xf numFmtId="17" fontId="21" fillId="11" borderId="0" xfId="0" applyNumberFormat="1" applyFont="1" applyFill="1" applyAlignment="1">
      <alignment horizontal="center" vertical="center"/>
    </xf>
    <xf numFmtId="17" fontId="21" fillId="0" borderId="0" xfId="0" applyNumberFormat="1" applyFont="1" applyAlignment="1">
      <alignment horizontal="left" vertical="center"/>
    </xf>
    <xf numFmtId="9" fontId="0" fillId="3" borderId="8" xfId="1" applyFont="1" applyFill="1" applyBorder="1" applyAlignment="1">
      <alignment horizontal="right" vertical="center"/>
    </xf>
    <xf numFmtId="165" fontId="11" fillId="2" borderId="2" xfId="1" applyNumberFormat="1" applyFont="1" applyFill="1" applyBorder="1" applyAlignment="1">
      <alignment horizontal="center" vertical="center"/>
    </xf>
    <xf numFmtId="0" fontId="14" fillId="21" borderId="0" xfId="0" applyFont="1" applyFill="1" applyAlignment="1">
      <alignment horizontal="center" vertical="center"/>
    </xf>
    <xf numFmtId="0" fontId="29" fillId="20" borderId="11" xfId="0" applyFont="1" applyFill="1" applyBorder="1" applyAlignment="1">
      <alignment horizontal="right" vertical="center"/>
    </xf>
    <xf numFmtId="164" fontId="12" fillId="17" borderId="1" xfId="0" applyNumberFormat="1" applyFont="1" applyFill="1" applyBorder="1" applyAlignment="1">
      <alignment horizontal="center" vertical="center"/>
    </xf>
    <xf numFmtId="164" fontId="20"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5" fillId="5" borderId="0" xfId="0" applyFont="1" applyFill="1" applyAlignment="1">
      <alignment horizontal="right" vertical="center"/>
    </xf>
    <xf numFmtId="164" fontId="12" fillId="0" borderId="1" xfId="0" applyNumberFormat="1" applyFont="1" applyBorder="1" applyAlignment="1">
      <alignment horizontal="center" vertical="center"/>
    </xf>
    <xf numFmtId="9" fontId="12"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4" fillId="0" borderId="0" xfId="0" applyFont="1" applyAlignment="1">
      <alignment horizontal="center" vertical="center"/>
    </xf>
    <xf numFmtId="1" fontId="33" fillId="0"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20" fontId="10" fillId="0" borderId="2" xfId="1" applyNumberFormat="1" applyFont="1" applyFill="1" applyBorder="1" applyAlignment="1">
      <alignment horizontal="center" vertical="center"/>
    </xf>
    <xf numFmtId="0" fontId="0" fillId="0" borderId="0" xfId="0" applyAlignment="1">
      <alignment horizontal="center"/>
    </xf>
    <xf numFmtId="164" fontId="32" fillId="0" borderId="0" xfId="1" applyNumberFormat="1" applyFont="1" applyAlignment="1">
      <alignment horizontal="center" vertical="center"/>
    </xf>
    <xf numFmtId="0" fontId="24" fillId="14" borderId="12" xfId="0" applyFont="1" applyFill="1" applyBorder="1" applyAlignment="1">
      <alignment horizontal="center" vertical="center"/>
    </xf>
    <xf numFmtId="164" fontId="36" fillId="0" borderId="13" xfId="0" applyNumberFormat="1" applyFont="1" applyBorder="1" applyAlignment="1">
      <alignment horizontal="center" vertical="center"/>
    </xf>
    <xf numFmtId="164" fontId="12" fillId="15" borderId="14" xfId="0" applyNumberFormat="1" applyFont="1" applyFill="1" applyBorder="1" applyAlignment="1">
      <alignment horizontal="center" vertical="center"/>
    </xf>
    <xf numFmtId="164" fontId="12" fillId="18" borderId="15" xfId="0" applyNumberFormat="1" applyFont="1" applyFill="1" applyBorder="1" applyAlignment="1">
      <alignment horizontal="center" vertical="center"/>
    </xf>
    <xf numFmtId="164" fontId="12" fillId="15" borderId="16" xfId="0" applyNumberFormat="1" applyFont="1" applyFill="1" applyBorder="1" applyAlignment="1">
      <alignment horizontal="center" vertical="center"/>
    </xf>
    <xf numFmtId="164" fontId="12" fillId="18" borderId="17" xfId="0" applyNumberFormat="1" applyFont="1" applyFill="1" applyBorder="1" applyAlignment="1">
      <alignment horizontal="center" vertical="center"/>
    </xf>
    <xf numFmtId="9" fontId="11" fillId="11" borderId="18" xfId="1" applyFont="1" applyFill="1" applyBorder="1" applyAlignment="1">
      <alignment horizontal="right" vertical="center"/>
    </xf>
    <xf numFmtId="164" fontId="32" fillId="11" borderId="2" xfId="1" applyNumberFormat="1" applyFont="1" applyFill="1" applyBorder="1" applyAlignment="1">
      <alignment horizontal="center" vertical="center"/>
    </xf>
    <xf numFmtId="0" fontId="32" fillId="0" borderId="0" xfId="0" applyFont="1" applyAlignment="1">
      <alignment horizontal="right"/>
    </xf>
    <xf numFmtId="164" fontId="32" fillId="11" borderId="0" xfId="1" applyNumberFormat="1" applyFont="1" applyFill="1" applyAlignment="1">
      <alignment horizontal="center" vertical="center"/>
    </xf>
    <xf numFmtId="9" fontId="37" fillId="23" borderId="1" xfId="0" applyNumberFormat="1" applyFont="1" applyFill="1" applyBorder="1" applyAlignment="1">
      <alignment horizontal="center" vertical="center"/>
    </xf>
    <xf numFmtId="1" fontId="15" fillId="0" borderId="0" xfId="1" applyNumberFormat="1" applyFont="1" applyFill="1" applyBorder="1" applyAlignment="1">
      <alignment horizontal="center" vertical="center"/>
    </xf>
    <xf numFmtId="1" fontId="15" fillId="0" borderId="0" xfId="0" applyNumberFormat="1" applyFont="1" applyAlignment="1">
      <alignment horizontal="center" vertical="center"/>
    </xf>
    <xf numFmtId="0" fontId="39" fillId="2" borderId="0" xfId="2" applyFont="1" applyFill="1" applyAlignment="1">
      <alignment horizontal="center" wrapText="1"/>
    </xf>
    <xf numFmtId="0" fontId="39" fillId="2" borderId="0" xfId="2" applyFont="1" applyFill="1" applyAlignment="1">
      <alignment wrapText="1"/>
    </xf>
    <xf numFmtId="0" fontId="40" fillId="25" borderId="21" xfId="2" applyFont="1" applyFill="1" applyBorder="1" applyAlignment="1">
      <alignment horizontal="center" vertical="center" wrapText="1"/>
    </xf>
    <xf numFmtId="0" fontId="41" fillId="25" borderId="0" xfId="2" applyFont="1" applyFill="1" applyAlignment="1">
      <alignment horizontal="center" vertical="center" wrapText="1"/>
    </xf>
    <xf numFmtId="49" fontId="42" fillId="3" borderId="24" xfId="1" applyNumberFormat="1" applyFont="1" applyFill="1" applyBorder="1" applyAlignment="1">
      <alignment horizontal="center" vertical="center" wrapText="1"/>
    </xf>
    <xf numFmtId="49" fontId="42" fillId="25" borderId="25" xfId="1" applyNumberFormat="1" applyFont="1" applyFill="1" applyBorder="1" applyAlignment="1">
      <alignment horizontal="center" vertical="center" wrapText="1"/>
    </xf>
    <xf numFmtId="164" fontId="32" fillId="0" borderId="28" xfId="2" applyNumberFormat="1" applyFont="1" applyBorder="1" applyAlignment="1">
      <alignment horizontal="center" vertical="center"/>
    </xf>
    <xf numFmtId="164" fontId="32" fillId="0" borderId="29" xfId="2" applyNumberFormat="1" applyFont="1" applyBorder="1" applyAlignment="1">
      <alignment horizontal="center" vertical="center"/>
    </xf>
    <xf numFmtId="164" fontId="38" fillId="25" borderId="29" xfId="2" applyNumberFormat="1" applyFill="1" applyBorder="1" applyAlignment="1">
      <alignment wrapText="1"/>
    </xf>
    <xf numFmtId="164" fontId="38" fillId="25" borderId="29" xfId="2" applyNumberFormat="1" applyFill="1" applyBorder="1" applyAlignment="1">
      <alignment horizontal="center" wrapText="1"/>
    </xf>
    <xf numFmtId="0" fontId="38" fillId="0" borderId="0" xfId="2" applyAlignment="1">
      <alignment horizontal="center" wrapText="1"/>
    </xf>
    <xf numFmtId="0" fontId="38" fillId="0" borderId="0" xfId="2" applyAlignment="1">
      <alignment wrapText="1"/>
    </xf>
    <xf numFmtId="0" fontId="39" fillId="2" borderId="0" xfId="2" applyFont="1" applyFill="1"/>
    <xf numFmtId="0" fontId="38" fillId="0" borderId="0" xfId="2"/>
    <xf numFmtId="0" fontId="39" fillId="2" borderId="0" xfId="2" applyFont="1" applyFill="1" applyAlignment="1">
      <alignment horizontal="center" vertical="center" wrapText="1"/>
    </xf>
    <xf numFmtId="0" fontId="38" fillId="0" borderId="0" xfId="2" applyAlignment="1">
      <alignment horizontal="center" vertical="center" wrapText="1"/>
    </xf>
    <xf numFmtId="0" fontId="32" fillId="2" borderId="0" xfId="2" applyFont="1" applyFill="1" applyAlignment="1">
      <alignment horizontal="center" wrapText="1"/>
    </xf>
    <xf numFmtId="164" fontId="38" fillId="0" borderId="28" xfId="2" applyNumberFormat="1" applyBorder="1" applyAlignment="1">
      <alignment horizontal="center" vertical="center" wrapText="1"/>
    </xf>
    <xf numFmtId="164" fontId="38" fillId="0" borderId="29" xfId="2" applyNumberFormat="1" applyBorder="1" applyAlignment="1">
      <alignment horizontal="center" vertical="center" wrapText="1"/>
    </xf>
    <xf numFmtId="164" fontId="38" fillId="0" borderId="30" xfId="2" applyNumberFormat="1" applyBorder="1" applyAlignment="1">
      <alignment horizontal="center" vertical="center" wrapText="1"/>
    </xf>
    <xf numFmtId="164" fontId="29" fillId="0" borderId="29" xfId="2" applyNumberFormat="1" applyFont="1" applyBorder="1" applyAlignment="1">
      <alignment horizontal="center" vertical="center" wrapText="1"/>
    </xf>
    <xf numFmtId="165" fontId="38"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4" fillId="26" borderId="0" xfId="0" applyFont="1" applyFill="1" applyAlignment="1">
      <alignment horizontal="center" vertical="center"/>
    </xf>
    <xf numFmtId="0" fontId="46" fillId="27" borderId="41" xfId="0" applyFont="1" applyFill="1" applyBorder="1" applyAlignment="1">
      <alignment vertical="center"/>
    </xf>
    <xf numFmtId="164" fontId="21" fillId="27" borderId="41" xfId="0" applyNumberFormat="1" applyFont="1" applyFill="1" applyBorder="1" applyAlignment="1">
      <alignment horizontal="center" vertical="center"/>
    </xf>
    <xf numFmtId="0" fontId="32" fillId="0" borderId="0" xfId="0" applyFont="1" applyAlignment="1">
      <alignment horizontal="center" vertical="center"/>
    </xf>
    <xf numFmtId="0" fontId="12" fillId="15" borderId="41" xfId="0" applyFont="1" applyFill="1" applyBorder="1" applyAlignment="1">
      <alignment horizontal="right" vertical="center"/>
    </xf>
    <xf numFmtId="164" fontId="12" fillId="15" borderId="41" xfId="1" applyNumberFormat="1" applyFont="1" applyFill="1" applyBorder="1" applyAlignment="1">
      <alignment horizontal="center" vertical="center"/>
    </xf>
    <xf numFmtId="9" fontId="32" fillId="31" borderId="41" xfId="0" applyNumberFormat="1" applyFont="1" applyFill="1" applyBorder="1" applyAlignment="1">
      <alignment horizontal="center" vertical="center"/>
    </xf>
    <xf numFmtId="164" fontId="12" fillId="3" borderId="41" xfId="0" applyNumberFormat="1" applyFont="1" applyFill="1" applyBorder="1" applyAlignment="1">
      <alignment horizontal="center"/>
    </xf>
    <xf numFmtId="0" fontId="35" fillId="14" borderId="41" xfId="0" applyFont="1" applyFill="1" applyBorder="1" applyAlignment="1">
      <alignment horizontal="right" vertical="center"/>
    </xf>
    <xf numFmtId="164" fontId="35" fillId="14" borderId="41" xfId="1" applyNumberFormat="1" applyFont="1" applyFill="1" applyBorder="1" applyAlignment="1">
      <alignment horizontal="center" vertical="center"/>
    </xf>
    <xf numFmtId="164" fontId="12" fillId="15" borderId="41" xfId="0" applyNumberFormat="1" applyFont="1" applyFill="1" applyBorder="1" applyAlignment="1">
      <alignment horizontal="center"/>
    </xf>
    <xf numFmtId="164" fontId="35"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2" fillId="31" borderId="41" xfId="0" applyFont="1" applyFill="1" applyBorder="1" applyAlignment="1">
      <alignment horizontal="right"/>
    </xf>
    <xf numFmtId="164" fontId="11"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2" fillId="32" borderId="41" xfId="0" applyNumberFormat="1" applyFont="1" applyFill="1" applyBorder="1" applyAlignment="1">
      <alignment horizontal="right"/>
    </xf>
    <xf numFmtId="9" fontId="0" fillId="10" borderId="41" xfId="1" applyFont="1" applyFill="1" applyBorder="1" applyAlignment="1">
      <alignment horizontal="center"/>
    </xf>
    <xf numFmtId="164" fontId="32" fillId="0" borderId="41" xfId="0" applyNumberFormat="1" applyFont="1" applyBorder="1" applyAlignment="1">
      <alignment horizontal="center" vertical="center"/>
    </xf>
    <xf numFmtId="9" fontId="44" fillId="26" borderId="2" xfId="1" applyFont="1" applyFill="1" applyBorder="1" applyAlignment="1">
      <alignment horizontal="center" vertical="center"/>
    </xf>
    <xf numFmtId="164" fontId="44" fillId="26" borderId="2" xfId="1" applyNumberFormat="1" applyFont="1" applyFill="1" applyBorder="1" applyAlignment="1">
      <alignment horizontal="center" vertical="center"/>
    </xf>
    <xf numFmtId="0" fontId="47" fillId="26" borderId="0" xfId="0" applyFont="1" applyFill="1"/>
    <xf numFmtId="0" fontId="0" fillId="0" borderId="41" xfId="0" applyBorder="1"/>
    <xf numFmtId="9" fontId="32" fillId="0" borderId="41" xfId="0" applyNumberFormat="1" applyFont="1" applyBorder="1" applyAlignment="1">
      <alignment horizontal="center" vertical="center"/>
    </xf>
    <xf numFmtId="0" fontId="12" fillId="0" borderId="0" xfId="0" applyFont="1"/>
    <xf numFmtId="0" fontId="12" fillId="29" borderId="41" xfId="0" applyFont="1" applyFill="1" applyBorder="1"/>
    <xf numFmtId="164" fontId="12" fillId="29" borderId="41" xfId="0" applyNumberFormat="1" applyFont="1" applyFill="1" applyBorder="1" applyAlignment="1">
      <alignment horizontal="center"/>
    </xf>
    <xf numFmtId="0" fontId="41"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0" fillId="25" borderId="42" xfId="2" applyFont="1" applyFill="1" applyBorder="1" applyAlignment="1">
      <alignment horizontal="center" vertical="center" wrapText="1"/>
    </xf>
    <xf numFmtId="0" fontId="30" fillId="25" borderId="50" xfId="2" applyFont="1" applyFill="1" applyBorder="1" applyAlignment="1">
      <alignment horizontal="center" vertical="center" wrapText="1"/>
    </xf>
    <xf numFmtId="49" fontId="29" fillId="36" borderId="47" xfId="1" applyNumberFormat="1" applyFont="1" applyFill="1" applyBorder="1" applyAlignment="1">
      <alignment horizontal="center" vertical="center" wrapText="1"/>
    </xf>
    <xf numFmtId="49" fontId="42" fillId="36" borderId="24" xfId="1" applyNumberFormat="1" applyFont="1" applyFill="1" applyBorder="1" applyAlignment="1">
      <alignment horizontal="center" vertical="center" wrapText="1"/>
    </xf>
    <xf numFmtId="49" fontId="29" fillId="37" borderId="54" xfId="1" applyNumberFormat="1" applyFont="1" applyFill="1" applyBorder="1" applyAlignment="1">
      <alignment horizontal="center" vertical="center" wrapText="1"/>
    </xf>
    <xf numFmtId="49" fontId="42" fillId="37" borderId="47" xfId="1" applyNumberFormat="1" applyFont="1" applyFill="1" applyBorder="1" applyAlignment="1">
      <alignment horizontal="center" vertical="center" wrapText="1"/>
    </xf>
    <xf numFmtId="49" fontId="42" fillId="37" borderId="24" xfId="1" applyNumberFormat="1" applyFont="1" applyFill="1" applyBorder="1" applyAlignment="1">
      <alignment horizontal="center" vertical="center" wrapText="1"/>
    </xf>
    <xf numFmtId="49" fontId="42" fillId="37" borderId="26" xfId="1" applyNumberFormat="1" applyFont="1" applyFill="1" applyBorder="1" applyAlignment="1">
      <alignment horizontal="center" vertical="center" wrapText="1"/>
    </xf>
    <xf numFmtId="49" fontId="29" fillId="38" borderId="46" xfId="1" applyNumberFormat="1" applyFont="1" applyFill="1" applyBorder="1" applyAlignment="1">
      <alignment horizontal="center" vertical="center" wrapText="1"/>
    </xf>
    <xf numFmtId="49" fontId="42" fillId="38" borderId="24" xfId="1" applyNumberFormat="1" applyFont="1" applyFill="1" applyBorder="1" applyAlignment="1">
      <alignment horizontal="center" vertical="center" wrapText="1"/>
    </xf>
    <xf numFmtId="49" fontId="42" fillId="38" borderId="26" xfId="1" applyNumberFormat="1" applyFont="1" applyFill="1" applyBorder="1" applyAlignment="1">
      <alignment horizontal="center" vertical="center" wrapText="1"/>
    </xf>
    <xf numFmtId="49" fontId="29" fillId="24" borderId="54" xfId="1" applyNumberFormat="1" applyFont="1" applyFill="1" applyBorder="1" applyAlignment="1">
      <alignment horizontal="center" vertical="center" wrapText="1"/>
    </xf>
    <xf numFmtId="49" fontId="42" fillId="3" borderId="47" xfId="1" applyNumberFormat="1" applyFont="1" applyFill="1" applyBorder="1" applyAlignment="1">
      <alignment horizontal="center" vertical="center" wrapText="1"/>
    </xf>
    <xf numFmtId="49" fontId="29" fillId="39" borderId="54" xfId="1" applyNumberFormat="1" applyFont="1" applyFill="1" applyBorder="1" applyAlignment="1">
      <alignment horizontal="center" vertical="center" wrapText="1"/>
    </xf>
    <xf numFmtId="49" fontId="42" fillId="39" borderId="47" xfId="1" applyNumberFormat="1" applyFont="1" applyFill="1" applyBorder="1" applyAlignment="1">
      <alignment horizontal="center" vertical="center" wrapText="1"/>
    </xf>
    <xf numFmtId="49" fontId="42" fillId="39" borderId="24" xfId="1" applyNumberFormat="1" applyFont="1" applyFill="1" applyBorder="1" applyAlignment="1">
      <alignment horizontal="center" vertical="center" wrapText="1"/>
    </xf>
    <xf numFmtId="49" fontId="42" fillId="39" borderId="25" xfId="1" applyNumberFormat="1" applyFont="1" applyFill="1" applyBorder="1" applyAlignment="1">
      <alignment horizontal="center" vertical="center" wrapText="1"/>
    </xf>
    <xf numFmtId="9" fontId="48" fillId="35" borderId="25" xfId="1" applyFont="1" applyFill="1" applyBorder="1" applyAlignment="1">
      <alignment horizontal="center" vertical="center" wrapText="1"/>
    </xf>
    <xf numFmtId="9" fontId="32" fillId="25" borderId="55" xfId="1" applyFont="1" applyFill="1" applyBorder="1" applyAlignment="1">
      <alignment horizontal="center" vertical="center" wrapText="1"/>
    </xf>
    <xf numFmtId="49" fontId="35" fillId="25" borderId="56" xfId="1" applyNumberFormat="1" applyFont="1" applyFill="1" applyBorder="1" applyAlignment="1">
      <alignment horizontal="center" vertical="center" wrapText="1"/>
    </xf>
    <xf numFmtId="49" fontId="39" fillId="25" borderId="57" xfId="1" applyNumberFormat="1" applyFont="1" applyFill="1" applyBorder="1" applyAlignment="1">
      <alignment horizontal="center" vertical="center" wrapText="1"/>
    </xf>
    <xf numFmtId="164" fontId="27" fillId="29" borderId="58" xfId="2" applyNumberFormat="1" applyFont="1" applyFill="1" applyBorder="1" applyAlignment="1">
      <alignment horizontal="center" vertical="center"/>
    </xf>
    <xf numFmtId="164" fontId="21" fillId="0" borderId="27" xfId="1" applyNumberFormat="1" applyFont="1" applyFill="1" applyBorder="1" applyAlignment="1">
      <alignment horizontal="center" vertical="center"/>
    </xf>
    <xf numFmtId="164" fontId="12" fillId="36" borderId="59" xfId="2" applyNumberFormat="1" applyFont="1" applyFill="1" applyBorder="1" applyAlignment="1">
      <alignment horizontal="center" vertical="center"/>
    </xf>
    <xf numFmtId="164" fontId="29" fillId="37" borderId="27" xfId="2" applyNumberFormat="1" applyFont="1" applyFill="1" applyBorder="1" applyAlignment="1">
      <alignment horizontal="center" vertical="center" wrapText="1"/>
    </xf>
    <xf numFmtId="164" fontId="38" fillId="0" borderId="60" xfId="2" applyNumberFormat="1" applyBorder="1" applyAlignment="1">
      <alignment horizontal="center" vertical="center" wrapText="1"/>
    </xf>
    <xf numFmtId="164" fontId="29" fillId="38" borderId="27" xfId="2" applyNumberFormat="1" applyFont="1" applyFill="1" applyBorder="1" applyAlignment="1">
      <alignment horizontal="center" vertical="center" wrapText="1"/>
    </xf>
    <xf numFmtId="164" fontId="29" fillId="24" borderId="27" xfId="2" applyNumberFormat="1" applyFont="1" applyFill="1" applyBorder="1" applyAlignment="1">
      <alignment horizontal="center" vertical="center" wrapText="1"/>
    </xf>
    <xf numFmtId="164" fontId="38" fillId="0" borderId="61" xfId="2" applyNumberFormat="1" applyBorder="1" applyAlignment="1">
      <alignment horizontal="center" vertical="center" wrapText="1"/>
    </xf>
    <xf numFmtId="164" fontId="29" fillId="39" borderId="27" xfId="2" applyNumberFormat="1" applyFont="1" applyFill="1" applyBorder="1" applyAlignment="1">
      <alignment horizontal="center" vertical="center" wrapText="1"/>
    </xf>
    <xf numFmtId="164" fontId="21" fillId="3" borderId="27" xfId="1" applyNumberFormat="1" applyFont="1" applyFill="1" applyBorder="1" applyAlignment="1">
      <alignment horizontal="center" vertical="center"/>
    </xf>
    <xf numFmtId="164" fontId="32" fillId="3" borderId="28" xfId="2" applyNumberFormat="1" applyFont="1" applyFill="1" applyBorder="1" applyAlignment="1">
      <alignment horizontal="center" vertical="center"/>
    </xf>
    <xf numFmtId="164" fontId="32" fillId="3" borderId="29" xfId="2" applyNumberFormat="1" applyFont="1" applyFill="1" applyBorder="1" applyAlignment="1">
      <alignment horizontal="center" vertical="center"/>
    </xf>
    <xf numFmtId="164" fontId="38" fillId="3" borderId="28" xfId="2" applyNumberFormat="1" applyFill="1" applyBorder="1" applyAlignment="1">
      <alignment horizontal="center" vertical="center" wrapText="1"/>
    </xf>
    <xf numFmtId="164" fontId="38" fillId="3" borderId="30" xfId="2" applyNumberFormat="1" applyFill="1" applyBorder="1" applyAlignment="1">
      <alignment horizontal="center" vertical="center" wrapText="1"/>
    </xf>
    <xf numFmtId="164" fontId="38" fillId="3" borderId="29" xfId="2" applyNumberFormat="1" applyFill="1" applyBorder="1" applyAlignment="1">
      <alignment horizontal="center" vertical="center" wrapText="1"/>
    </xf>
    <xf numFmtId="164" fontId="38" fillId="3" borderId="60" xfId="2" applyNumberFormat="1" applyFill="1" applyBorder="1" applyAlignment="1">
      <alignment horizontal="center" vertical="center" wrapText="1"/>
    </xf>
    <xf numFmtId="164" fontId="38" fillId="3" borderId="61" xfId="2" applyNumberFormat="1" applyFill="1" applyBorder="1" applyAlignment="1">
      <alignment horizontal="center" vertical="center" wrapText="1"/>
    </xf>
    <xf numFmtId="164" fontId="29" fillId="3" borderId="29" xfId="2" applyNumberFormat="1" applyFont="1" applyFill="1" applyBorder="1" applyAlignment="1">
      <alignment horizontal="center" vertical="center" wrapText="1"/>
    </xf>
    <xf numFmtId="165" fontId="38" fillId="3" borderId="29" xfId="2" applyNumberFormat="1" applyFill="1" applyBorder="1" applyAlignment="1">
      <alignment horizontal="center" vertical="center" wrapText="1"/>
    </xf>
    <xf numFmtId="164" fontId="27" fillId="29" borderId="23" xfId="2" applyNumberFormat="1" applyFont="1" applyFill="1" applyBorder="1" applyAlignment="1">
      <alignment horizontal="center" vertical="center"/>
    </xf>
    <xf numFmtId="164" fontId="12" fillId="36" borderId="62" xfId="2" applyNumberFormat="1" applyFont="1" applyFill="1" applyBorder="1" applyAlignment="1">
      <alignment horizontal="center" vertical="center"/>
    </xf>
    <xf numFmtId="164" fontId="32" fillId="3" borderId="9" xfId="2" applyNumberFormat="1" applyFont="1" applyFill="1" applyBorder="1" applyAlignment="1">
      <alignment horizontal="center" vertical="center"/>
    </xf>
    <xf numFmtId="164" fontId="32" fillId="3" borderId="63" xfId="2" applyNumberFormat="1" applyFont="1" applyFill="1" applyBorder="1" applyAlignment="1">
      <alignment horizontal="center" vertical="center"/>
    </xf>
    <xf numFmtId="164" fontId="38" fillId="3" borderId="9" xfId="2" applyNumberFormat="1" applyFill="1" applyBorder="1" applyAlignment="1">
      <alignment horizontal="center" vertical="center" wrapText="1"/>
    </xf>
    <xf numFmtId="164" fontId="38" fillId="3" borderId="1" xfId="2" applyNumberFormat="1" applyFill="1" applyBorder="1" applyAlignment="1">
      <alignment horizontal="center" vertical="center" wrapText="1"/>
    </xf>
    <xf numFmtId="0" fontId="49" fillId="0" borderId="40" xfId="0" applyFont="1" applyBorder="1" applyAlignment="1">
      <alignment horizontal="left" vertical="center"/>
    </xf>
    <xf numFmtId="164" fontId="27" fillId="29" borderId="40" xfId="2" applyNumberFormat="1" applyFont="1" applyFill="1" applyBorder="1" applyAlignment="1">
      <alignment horizontal="center" vertical="center"/>
    </xf>
    <xf numFmtId="164" fontId="49" fillId="27" borderId="64" xfId="2" applyNumberFormat="1" applyFont="1" applyFill="1" applyBorder="1" applyAlignment="1">
      <alignment horizontal="center" vertical="center" wrapText="1"/>
    </xf>
    <xf numFmtId="164" fontId="49" fillId="36" borderId="54" xfId="2" applyNumberFormat="1" applyFont="1" applyFill="1" applyBorder="1" applyAlignment="1">
      <alignment horizontal="center" vertical="center" wrapText="1"/>
    </xf>
    <xf numFmtId="164" fontId="49" fillId="29" borderId="65" xfId="2" applyNumberFormat="1" applyFont="1" applyFill="1" applyBorder="1" applyAlignment="1">
      <alignment horizontal="center" vertical="center" wrapText="1"/>
    </xf>
    <xf numFmtId="164" fontId="49" fillId="29" borderId="66" xfId="2" applyNumberFormat="1" applyFont="1" applyFill="1" applyBorder="1" applyAlignment="1">
      <alignment horizontal="center" vertical="center" wrapText="1"/>
    </xf>
    <xf numFmtId="164" fontId="49" fillId="29" borderId="67" xfId="2" applyNumberFormat="1" applyFont="1" applyFill="1" applyBorder="1" applyAlignment="1">
      <alignment horizontal="center" vertical="center" wrapText="1"/>
    </xf>
    <xf numFmtId="164" fontId="49" fillId="37" borderId="68" xfId="2" applyNumberFormat="1" applyFont="1" applyFill="1" applyBorder="1" applyAlignment="1">
      <alignment horizontal="center" vertical="center" wrapText="1"/>
    </xf>
    <xf numFmtId="164" fontId="49" fillId="29" borderId="69" xfId="2" applyNumberFormat="1" applyFont="1" applyFill="1" applyBorder="1" applyAlignment="1">
      <alignment horizontal="center" vertical="center" wrapText="1"/>
    </xf>
    <xf numFmtId="164" fontId="49" fillId="29" borderId="70" xfId="2" applyNumberFormat="1" applyFont="1" applyFill="1" applyBorder="1" applyAlignment="1">
      <alignment horizontal="center" vertical="center" wrapText="1"/>
    </xf>
    <xf numFmtId="164" fontId="49" fillId="29" borderId="71" xfId="2" applyNumberFormat="1" applyFont="1" applyFill="1" applyBorder="1" applyAlignment="1">
      <alignment horizontal="center" vertical="center" wrapText="1"/>
    </xf>
    <xf numFmtId="164" fontId="49" fillId="38" borderId="72" xfId="2" applyNumberFormat="1" applyFont="1" applyFill="1" applyBorder="1" applyAlignment="1">
      <alignment horizontal="center" vertical="center" wrapText="1"/>
    </xf>
    <xf numFmtId="164" fontId="49" fillId="24" borderId="68" xfId="2" applyNumberFormat="1" applyFont="1" applyFill="1" applyBorder="1" applyAlignment="1">
      <alignment horizontal="center" vertical="center" wrapText="1"/>
    </xf>
    <xf numFmtId="164" fontId="49" fillId="29" borderId="31" xfId="2" applyNumberFormat="1" applyFont="1" applyFill="1" applyBorder="1" applyAlignment="1">
      <alignment horizontal="center" vertical="center" wrapText="1"/>
    </xf>
    <xf numFmtId="164" fontId="49" fillId="29" borderId="32" xfId="2" applyNumberFormat="1" applyFont="1" applyFill="1" applyBorder="1" applyAlignment="1">
      <alignment horizontal="center" vertical="center" wrapText="1"/>
    </xf>
    <xf numFmtId="164" fontId="49" fillId="29" borderId="33" xfId="2" applyNumberFormat="1" applyFont="1" applyFill="1" applyBorder="1" applyAlignment="1">
      <alignment horizontal="center" vertical="center" wrapText="1"/>
    </xf>
    <xf numFmtId="164" fontId="49" fillId="39" borderId="68" xfId="2" applyNumberFormat="1" applyFont="1" applyFill="1" applyBorder="1" applyAlignment="1">
      <alignment horizontal="center" vertical="center" wrapText="1"/>
    </xf>
    <xf numFmtId="164" fontId="49" fillId="25" borderId="32" xfId="2" applyNumberFormat="1" applyFont="1" applyFill="1" applyBorder="1" applyAlignment="1">
      <alignment horizontal="center" vertical="center" wrapText="1"/>
    </xf>
    <xf numFmtId="165" fontId="49" fillId="29" borderId="32" xfId="2" applyNumberFormat="1" applyFont="1" applyFill="1" applyBorder="1" applyAlignment="1">
      <alignment horizontal="center" vertical="center" wrapText="1"/>
    </xf>
    <xf numFmtId="0" fontId="50" fillId="0" borderId="0" xfId="0" applyFont="1"/>
    <xf numFmtId="0" fontId="30" fillId="34" borderId="6" xfId="0" applyFont="1" applyFill="1" applyBorder="1" applyAlignment="1">
      <alignment vertical="center"/>
    </xf>
    <xf numFmtId="0" fontId="28" fillId="34" borderId="7" xfId="0" applyFont="1" applyFill="1" applyBorder="1" applyAlignment="1">
      <alignment horizontal="center"/>
    </xf>
    <xf numFmtId="0" fontId="51" fillId="34" borderId="0" xfId="0" applyFont="1" applyFill="1" applyAlignment="1">
      <alignment horizontal="center" vertical="center"/>
    </xf>
    <xf numFmtId="164" fontId="24" fillId="34" borderId="73" xfId="1" applyNumberFormat="1" applyFont="1" applyFill="1" applyBorder="1" applyAlignment="1">
      <alignment horizontal="center" vertical="center"/>
    </xf>
    <xf numFmtId="0" fontId="52" fillId="15" borderId="0" xfId="0" applyFont="1" applyFill="1" applyAlignment="1">
      <alignment vertical="center"/>
    </xf>
    <xf numFmtId="17" fontId="53"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0" fillId="26" borderId="19" xfId="0" applyNumberFormat="1" applyFont="1" applyFill="1" applyBorder="1" applyAlignment="1">
      <alignment horizontal="right" vertical="center"/>
    </xf>
    <xf numFmtId="164" fontId="54" fillId="26" borderId="20" xfId="0" applyNumberFormat="1" applyFont="1" applyFill="1" applyBorder="1" applyAlignment="1">
      <alignment horizontal="center" vertical="center"/>
    </xf>
    <xf numFmtId="17" fontId="40"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20" fontId="55" fillId="0" borderId="32" xfId="0" applyNumberFormat="1" applyFont="1" applyBorder="1" applyAlignment="1">
      <alignment horizontal="center"/>
    </xf>
    <xf numFmtId="20" fontId="55" fillId="0" borderId="34" xfId="0" applyNumberFormat="1" applyFont="1" applyBorder="1" applyAlignment="1">
      <alignment horizontal="center"/>
    </xf>
    <xf numFmtId="0" fontId="20" fillId="14" borderId="0" xfId="0" applyFont="1" applyFill="1" applyAlignment="1">
      <alignment horizontal="right" vertical="center"/>
    </xf>
    <xf numFmtId="164" fontId="27" fillId="0" borderId="0" xfId="0" applyNumberFormat="1" applyFont="1" applyAlignment="1">
      <alignment horizontal="center"/>
    </xf>
    <xf numFmtId="164" fontId="20" fillId="8" borderId="29" xfId="0" applyNumberFormat="1" applyFont="1" applyFill="1" applyBorder="1" applyAlignment="1">
      <alignment horizontal="center" vertical="center"/>
    </xf>
    <xf numFmtId="9" fontId="56" fillId="11" borderId="18" xfId="1" applyFont="1" applyFill="1" applyBorder="1" applyAlignment="1">
      <alignment horizontal="right" vertical="center"/>
    </xf>
    <xf numFmtId="164" fontId="56" fillId="11" borderId="2" xfId="1" applyNumberFormat="1" applyFont="1" applyFill="1" applyBorder="1" applyAlignment="1">
      <alignment horizontal="center" vertical="center"/>
    </xf>
    <xf numFmtId="9" fontId="56" fillId="0" borderId="0" xfId="1" applyFont="1" applyAlignment="1">
      <alignment horizontal="center"/>
    </xf>
    <xf numFmtId="164" fontId="56" fillId="11" borderId="41" xfId="1" applyNumberFormat="1" applyFont="1" applyFill="1" applyBorder="1" applyAlignment="1">
      <alignment horizontal="center" vertical="center"/>
    </xf>
    <xf numFmtId="164" fontId="12" fillId="3" borderId="41" xfId="0" applyNumberFormat="1" applyFont="1" applyFill="1" applyBorder="1" applyAlignment="1">
      <alignment horizontal="center" vertical="center"/>
    </xf>
    <xf numFmtId="1" fontId="15" fillId="21" borderId="18" xfId="1" applyNumberFormat="1" applyFont="1" applyFill="1" applyBorder="1" applyAlignment="1">
      <alignment horizontal="center" vertical="center"/>
    </xf>
    <xf numFmtId="9" fontId="10" fillId="2" borderId="41" xfId="1" applyFont="1" applyFill="1" applyBorder="1" applyAlignment="1">
      <alignment horizontal="center" vertical="center"/>
    </xf>
    <xf numFmtId="9" fontId="10" fillId="3" borderId="41" xfId="1" applyFont="1" applyFill="1" applyBorder="1" applyAlignment="1">
      <alignment horizontal="center" vertical="center"/>
    </xf>
    <xf numFmtId="1" fontId="18" fillId="0" borderId="41" xfId="0" applyNumberFormat="1" applyFont="1" applyBorder="1" applyAlignment="1">
      <alignment horizontal="center"/>
    </xf>
    <xf numFmtId="164" fontId="20" fillId="8" borderId="41" xfId="0" applyNumberFormat="1" applyFont="1" applyFill="1" applyBorder="1" applyAlignment="1">
      <alignment horizontal="center" vertical="center"/>
    </xf>
    <xf numFmtId="0" fontId="20" fillId="5" borderId="0" xfId="0" applyFont="1" applyFill="1" applyAlignment="1">
      <alignment horizontal="right" vertical="center"/>
    </xf>
    <xf numFmtId="9" fontId="57" fillId="3" borderId="1" xfId="0" applyNumberFormat="1" applyFont="1" applyFill="1" applyBorder="1" applyAlignment="1">
      <alignment horizontal="center" vertical="center"/>
    </xf>
    <xf numFmtId="9" fontId="27" fillId="22" borderId="41" xfId="0" applyNumberFormat="1" applyFont="1" applyFill="1" applyBorder="1" applyAlignment="1">
      <alignment horizontal="center" vertical="center"/>
    </xf>
    <xf numFmtId="0" fontId="46" fillId="0" borderId="0" xfId="0" applyFont="1"/>
    <xf numFmtId="0" fontId="46" fillId="0" borderId="0" xfId="0" applyFont="1" applyAlignment="1">
      <alignment horizontal="left" vertical="top"/>
    </xf>
    <xf numFmtId="9" fontId="15" fillId="21" borderId="18" xfId="1" applyFont="1" applyFill="1" applyBorder="1" applyAlignment="1">
      <alignment horizontal="center" vertical="center"/>
    </xf>
    <xf numFmtId="0" fontId="41" fillId="20" borderId="10" xfId="0" applyFont="1" applyFill="1" applyBorder="1" applyAlignment="1">
      <alignment horizontal="right" vertical="center"/>
    </xf>
    <xf numFmtId="9" fontId="12" fillId="10" borderId="41" xfId="0" applyNumberFormat="1" applyFont="1" applyFill="1" applyBorder="1" applyAlignment="1">
      <alignment horizontal="center" vertical="center"/>
    </xf>
    <xf numFmtId="1" fontId="15" fillId="2" borderId="18" xfId="1" applyNumberFormat="1" applyFont="1" applyFill="1" applyBorder="1" applyAlignment="1">
      <alignment horizontal="center" vertical="center"/>
    </xf>
    <xf numFmtId="1" fontId="15" fillId="0" borderId="18" xfId="1" applyNumberFormat="1" applyFont="1" applyFill="1" applyBorder="1" applyAlignment="1">
      <alignment horizontal="center" vertical="center"/>
    </xf>
    <xf numFmtId="20" fontId="10" fillId="0" borderId="41" xfId="1" applyNumberFormat="1" applyFont="1" applyFill="1" applyBorder="1" applyAlignment="1">
      <alignment horizontal="center" vertical="center"/>
    </xf>
    <xf numFmtId="165" fontId="10" fillId="3" borderId="41" xfId="1" applyNumberFormat="1" applyFont="1" applyFill="1" applyBorder="1" applyAlignment="1">
      <alignment horizontal="center" vertical="center"/>
    </xf>
    <xf numFmtId="9" fontId="10" fillId="0" borderId="41" xfId="1" applyFont="1" applyFill="1" applyBorder="1" applyAlignment="1">
      <alignment horizontal="center" vertical="center"/>
    </xf>
    <xf numFmtId="1" fontId="33" fillId="0" borderId="75" xfId="1" applyNumberFormat="1" applyFont="1" applyFill="1" applyBorder="1" applyAlignment="1">
      <alignment horizontal="center" vertical="center"/>
    </xf>
    <xf numFmtId="0" fontId="20" fillId="26" borderId="76" xfId="0" applyFont="1" applyFill="1" applyBorder="1" applyAlignment="1">
      <alignment vertical="center"/>
    </xf>
    <xf numFmtId="0" fontId="28" fillId="26" borderId="77" xfId="0" applyFont="1" applyFill="1" applyBorder="1" applyAlignment="1">
      <alignment horizontal="center"/>
    </xf>
    <xf numFmtId="164" fontId="24" fillId="26" borderId="78" xfId="1" applyNumberFormat="1" applyFont="1" applyFill="1" applyBorder="1" applyAlignment="1">
      <alignment horizontal="center" vertical="center"/>
    </xf>
    <xf numFmtId="164" fontId="24" fillId="26" borderId="41" xfId="0" applyNumberFormat="1" applyFont="1" applyFill="1" applyBorder="1" applyAlignment="1">
      <alignment horizontal="center" vertical="center"/>
    </xf>
    <xf numFmtId="0" fontId="14" fillId="0" borderId="41" xfId="0" applyFont="1" applyBorder="1" applyAlignment="1">
      <alignment horizontal="center" vertical="center"/>
    </xf>
    <xf numFmtId="17" fontId="21" fillId="0" borderId="41" xfId="0" applyNumberFormat="1" applyFont="1" applyBorder="1" applyAlignment="1">
      <alignment horizontal="left" vertical="center"/>
    </xf>
    <xf numFmtId="17" fontId="21" fillId="0" borderId="41" xfId="0" applyNumberFormat="1" applyFont="1" applyBorder="1" applyAlignment="1">
      <alignment horizontal="center" vertical="center"/>
    </xf>
    <xf numFmtId="17" fontId="13" fillId="0" borderId="41" xfId="0" applyNumberFormat="1" applyFont="1" applyBorder="1" applyAlignment="1">
      <alignment horizontal="center" vertical="center"/>
    </xf>
    <xf numFmtId="164" fontId="21" fillId="0" borderId="41" xfId="0" applyNumberFormat="1" applyFont="1" applyBorder="1" applyAlignment="1">
      <alignment horizontal="center" vertical="center"/>
    </xf>
    <xf numFmtId="0" fontId="32" fillId="0" borderId="41" xfId="0" applyFont="1" applyBorder="1" applyAlignment="1">
      <alignment horizontal="center" vertical="center"/>
    </xf>
    <xf numFmtId="164" fontId="11" fillId="0" borderId="41" xfId="1" applyNumberFormat="1" applyFont="1" applyFill="1" applyBorder="1" applyAlignment="1">
      <alignment horizontal="center" vertical="center"/>
    </xf>
    <xf numFmtId="9" fontId="11" fillId="0" borderId="41" xfId="1" applyFont="1" applyFill="1" applyBorder="1" applyAlignment="1">
      <alignment horizontal="right" vertical="center"/>
    </xf>
    <xf numFmtId="9" fontId="11" fillId="0" borderId="41" xfId="1" applyFont="1" applyFill="1" applyBorder="1" applyAlignment="1">
      <alignment horizontal="center"/>
    </xf>
    <xf numFmtId="0" fontId="12" fillId="0" borderId="41" xfId="0" applyFont="1" applyBorder="1" applyAlignment="1">
      <alignment horizontal="right"/>
    </xf>
    <xf numFmtId="0" fontId="16" fillId="0" borderId="41" xfId="0" applyFont="1" applyBorder="1" applyAlignment="1">
      <alignment horizontal="center" vertical="center"/>
    </xf>
    <xf numFmtId="164" fontId="21"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1" fillId="0" borderId="41" xfId="0" applyFont="1" applyBorder="1"/>
    <xf numFmtId="0" fontId="12" fillId="0" borderId="41" xfId="0" applyFont="1" applyBorder="1" applyAlignment="1">
      <alignment horizontal="center"/>
    </xf>
    <xf numFmtId="9" fontId="12" fillId="0" borderId="41" xfId="0" applyNumberFormat="1" applyFont="1" applyBorder="1" applyAlignment="1">
      <alignment horizontal="center"/>
    </xf>
    <xf numFmtId="0" fontId="42" fillId="32" borderId="41" xfId="0" applyFont="1" applyFill="1" applyBorder="1" applyAlignment="1">
      <alignment horizontal="right"/>
    </xf>
    <xf numFmtId="17" fontId="42" fillId="32" borderId="41" xfId="0" applyNumberFormat="1" applyFont="1" applyFill="1" applyBorder="1" applyAlignment="1">
      <alignment horizontal="right"/>
    </xf>
    <xf numFmtId="164" fontId="35" fillId="26" borderId="2" xfId="1" applyNumberFormat="1" applyFont="1" applyFill="1" applyBorder="1" applyAlignment="1">
      <alignment horizontal="center" vertical="center"/>
    </xf>
    <xf numFmtId="0" fontId="12" fillId="11" borderId="41" xfId="0" applyFont="1" applyFill="1" applyBorder="1"/>
    <xf numFmtId="164" fontId="12" fillId="31" borderId="41" xfId="0" applyNumberFormat="1" applyFont="1" applyFill="1" applyBorder="1" applyAlignment="1">
      <alignment horizontal="center"/>
    </xf>
    <xf numFmtId="164" fontId="49" fillId="25" borderId="33" xfId="2" applyNumberFormat="1" applyFont="1" applyFill="1" applyBorder="1" applyAlignment="1">
      <alignment horizontal="center" vertical="center" wrapText="1"/>
    </xf>
    <xf numFmtId="164" fontId="29" fillId="3" borderId="63" xfId="2" applyNumberFormat="1" applyFont="1" applyFill="1" applyBorder="1" applyAlignment="1">
      <alignment horizontal="center" vertical="center" wrapText="1"/>
    </xf>
    <xf numFmtId="165" fontId="38" fillId="3" borderId="63" xfId="2" applyNumberFormat="1" applyFill="1" applyBorder="1" applyAlignment="1">
      <alignment horizontal="center" vertical="center" wrapText="1"/>
    </xf>
    <xf numFmtId="164" fontId="38" fillId="3" borderId="63" xfId="2" applyNumberFormat="1" applyFill="1" applyBorder="1" applyAlignment="1">
      <alignment horizontal="center" vertical="center" wrapText="1"/>
    </xf>
    <xf numFmtId="164" fontId="49"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9" fillId="25" borderId="90" xfId="1" applyNumberFormat="1" applyFont="1" applyFill="1" applyBorder="1" applyAlignment="1">
      <alignment horizontal="center" vertical="center" wrapText="1"/>
    </xf>
    <xf numFmtId="164" fontId="12" fillId="0" borderId="41" xfId="0" applyNumberFormat="1" applyFont="1" applyBorder="1"/>
    <xf numFmtId="0" fontId="10" fillId="0" borderId="41" xfId="0" applyFont="1" applyBorder="1" applyAlignment="1">
      <alignment horizontal="center" vertical="center"/>
    </xf>
    <xf numFmtId="17" fontId="10" fillId="0" borderId="41" xfId="0" applyNumberFormat="1" applyFont="1" applyBorder="1" applyAlignment="1">
      <alignment horizontal="center" vertical="center"/>
    </xf>
    <xf numFmtId="9" fontId="11" fillId="3" borderId="41" xfId="1" applyFont="1" applyFill="1" applyBorder="1" applyAlignment="1">
      <alignment horizontal="center"/>
    </xf>
    <xf numFmtId="165" fontId="9"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0" fillId="0" borderId="41" xfId="1" applyNumberFormat="1" applyFont="1" applyFill="1" applyBorder="1" applyAlignment="1">
      <alignment horizontal="center" vertical="center"/>
    </xf>
    <xf numFmtId="166" fontId="12" fillId="11" borderId="41" xfId="0" applyNumberFormat="1" applyFont="1" applyFill="1" applyBorder="1" applyAlignment="1">
      <alignment horizontal="center"/>
    </xf>
    <xf numFmtId="166" fontId="39" fillId="2" borderId="0" xfId="2" applyNumberFormat="1" applyFont="1" applyFill="1" applyAlignment="1">
      <alignment horizontal="center" wrapText="1"/>
    </xf>
    <xf numFmtId="166" fontId="31"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8" fillId="3" borderId="29" xfId="2" applyNumberFormat="1" applyFill="1" applyBorder="1" applyAlignment="1">
      <alignment horizontal="center" vertical="center" wrapText="1"/>
    </xf>
    <xf numFmtId="166" fontId="38" fillId="0" borderId="29" xfId="2" applyNumberFormat="1" applyBorder="1" applyAlignment="1">
      <alignment horizontal="center" vertical="center" wrapText="1"/>
    </xf>
    <xf numFmtId="166" fontId="38" fillId="3" borderId="63" xfId="2" applyNumberFormat="1" applyFill="1" applyBorder="1" applyAlignment="1">
      <alignment horizontal="center" vertical="center" wrapText="1"/>
    </xf>
    <xf numFmtId="166" fontId="49" fillId="29" borderId="34" xfId="2" applyNumberFormat="1" applyFont="1" applyFill="1" applyBorder="1" applyAlignment="1">
      <alignment horizontal="center" vertical="center" wrapText="1"/>
    </xf>
    <xf numFmtId="166" fontId="38" fillId="0" borderId="0" xfId="2" applyNumberFormat="1" applyAlignment="1">
      <alignment horizontal="center" wrapText="1"/>
    </xf>
    <xf numFmtId="166" fontId="35" fillId="25" borderId="56" xfId="1" applyNumberFormat="1" applyFont="1" applyFill="1" applyBorder="1" applyAlignment="1">
      <alignment horizontal="center" vertical="center" wrapText="1"/>
    </xf>
    <xf numFmtId="166" fontId="27" fillId="29" borderId="92" xfId="1" applyNumberFormat="1" applyFont="1" applyFill="1" applyBorder="1" applyAlignment="1">
      <alignment horizontal="center" vertical="center"/>
    </xf>
    <xf numFmtId="45" fontId="10" fillId="0" borderId="2" xfId="1" applyNumberFormat="1" applyFont="1" applyFill="1" applyBorder="1" applyAlignment="1">
      <alignment horizontal="center" vertical="center"/>
    </xf>
    <xf numFmtId="45" fontId="10" fillId="0" borderId="41" xfId="1" applyNumberFormat="1" applyFont="1" applyFill="1" applyBorder="1" applyAlignment="1">
      <alignment horizontal="center" vertical="center"/>
    </xf>
    <xf numFmtId="164" fontId="12"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9"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9" fillId="2" borderId="2" xfId="1" applyNumberFormat="1" applyFont="1" applyFill="1" applyBorder="1" applyAlignment="1">
      <alignment horizontal="center" vertical="center"/>
    </xf>
    <xf numFmtId="45" fontId="8" fillId="2"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7" fillId="2" borderId="93"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1" fontId="5" fillId="2" borderId="2" xfId="1" applyNumberFormat="1" applyFont="1" applyFill="1" applyBorder="1" applyAlignment="1">
      <alignment horizontal="center" vertical="center"/>
    </xf>
    <xf numFmtId="9" fontId="4" fillId="11" borderId="2" xfId="1" applyFont="1" applyFill="1" applyBorder="1" applyAlignment="1">
      <alignment horizontal="center" vertical="center"/>
    </xf>
    <xf numFmtId="9" fontId="4" fillId="2" borderId="2" xfId="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45"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1"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30" fillId="35" borderId="21" xfId="2" applyFont="1" applyFill="1" applyBorder="1" applyAlignment="1">
      <alignment horizontal="center" vertical="center" wrapText="1"/>
    </xf>
    <xf numFmtId="0" fontId="30" fillId="35" borderId="22" xfId="2" applyFont="1" applyFill="1" applyBorder="1" applyAlignment="1">
      <alignment horizontal="center" vertical="center" wrapText="1"/>
    </xf>
    <xf numFmtId="0" fontId="30" fillId="35" borderId="49" xfId="2" applyFont="1" applyFill="1" applyBorder="1" applyAlignment="1">
      <alignment horizontal="center" vertical="center" wrapText="1"/>
    </xf>
    <xf numFmtId="0" fontId="30" fillId="35" borderId="39" xfId="2" applyFont="1" applyFill="1" applyBorder="1" applyAlignment="1">
      <alignment horizontal="center" vertical="center" wrapText="1"/>
    </xf>
    <xf numFmtId="49" fontId="30" fillId="25" borderId="43" xfId="2" applyNumberFormat="1" applyFont="1" applyFill="1" applyBorder="1" applyAlignment="1">
      <alignment horizontal="center" vertical="center" wrapText="1"/>
    </xf>
    <xf numFmtId="49" fontId="30" fillId="25" borderId="44" xfId="2" applyNumberFormat="1" applyFont="1" applyFill="1" applyBorder="1" applyAlignment="1">
      <alignment horizontal="center" vertical="center" wrapText="1"/>
    </xf>
    <xf numFmtId="49" fontId="30" fillId="25" borderId="45" xfId="2" applyNumberFormat="1" applyFont="1" applyFill="1" applyBorder="1" applyAlignment="1">
      <alignment horizontal="center" vertical="center" wrapText="1"/>
    </xf>
    <xf numFmtId="49" fontId="30" fillId="25" borderId="51" xfId="2" applyNumberFormat="1" applyFont="1" applyFill="1" applyBorder="1" applyAlignment="1">
      <alignment horizontal="center" vertical="center" wrapText="1"/>
    </xf>
    <xf numFmtId="49" fontId="30" fillId="25" borderId="52" xfId="2" applyNumberFormat="1" applyFont="1" applyFill="1" applyBorder="1" applyAlignment="1">
      <alignment horizontal="center" vertical="center" wrapText="1"/>
    </xf>
    <xf numFmtId="49" fontId="30" fillId="25" borderId="53" xfId="2" applyNumberFormat="1" applyFont="1" applyFill="1" applyBorder="1" applyAlignment="1">
      <alignment horizontal="center" vertical="center" wrapText="1"/>
    </xf>
    <xf numFmtId="0" fontId="43" fillId="28" borderId="87" xfId="2" applyFont="1" applyFill="1" applyBorder="1" applyAlignment="1">
      <alignment horizontal="center" vertical="center"/>
    </xf>
    <xf numFmtId="0" fontId="43" fillId="28" borderId="88" xfId="2" applyFont="1" applyFill="1" applyBorder="1" applyAlignment="1">
      <alignment horizontal="center" vertical="center"/>
    </xf>
    <xf numFmtId="0" fontId="43" fillId="28" borderId="89" xfId="2" applyFont="1" applyFill="1" applyBorder="1" applyAlignment="1">
      <alignment horizontal="center" vertical="center"/>
    </xf>
    <xf numFmtId="49" fontId="30" fillId="34" borderId="86" xfId="2" applyNumberFormat="1" applyFont="1" applyFill="1" applyBorder="1" applyAlignment="1">
      <alignment horizontal="left" vertical="center" wrapText="1" indent="1"/>
    </xf>
    <xf numFmtId="49" fontId="30" fillId="34" borderId="21" xfId="2" applyNumberFormat="1" applyFont="1" applyFill="1" applyBorder="1" applyAlignment="1">
      <alignment horizontal="left" vertical="center" wrapText="1" indent="1"/>
    </xf>
    <xf numFmtId="49" fontId="30" fillId="34" borderId="22" xfId="2" applyNumberFormat="1" applyFont="1" applyFill="1" applyBorder="1" applyAlignment="1">
      <alignment horizontal="left" vertical="center" wrapText="1" indent="1"/>
    </xf>
    <xf numFmtId="0" fontId="41" fillId="36" borderId="46" xfId="2" applyFont="1" applyFill="1" applyBorder="1" applyAlignment="1">
      <alignment horizontal="center" vertical="center" wrapText="1"/>
    </xf>
    <xf numFmtId="0" fontId="41" fillId="36" borderId="47" xfId="2" applyFont="1" applyFill="1" applyBorder="1" applyAlignment="1">
      <alignment horizontal="center" vertical="center" wrapText="1"/>
    </xf>
    <xf numFmtId="0" fontId="41" fillId="36" borderId="48" xfId="2" applyFont="1" applyFill="1" applyBorder="1" applyAlignment="1">
      <alignment horizontal="center" vertical="center" wrapText="1"/>
    </xf>
    <xf numFmtId="0" fontId="41" fillId="37" borderId="46" xfId="2" applyFont="1" applyFill="1" applyBorder="1" applyAlignment="1">
      <alignment horizontal="center" vertical="center" wrapText="1"/>
    </xf>
    <xf numFmtId="0" fontId="41" fillId="37" borderId="47" xfId="2" applyFont="1" applyFill="1" applyBorder="1" applyAlignment="1">
      <alignment horizontal="center" vertical="center" wrapText="1"/>
    </xf>
    <xf numFmtId="0" fontId="41" fillId="37" borderId="48" xfId="2" applyFont="1" applyFill="1" applyBorder="1" applyAlignment="1">
      <alignment horizontal="center" vertical="center" wrapText="1"/>
    </xf>
    <xf numFmtId="0" fontId="41" fillId="38" borderId="46" xfId="2" applyFont="1" applyFill="1" applyBorder="1" applyAlignment="1">
      <alignment horizontal="center" vertical="center" wrapText="1"/>
    </xf>
    <xf numFmtId="0" fontId="41" fillId="38" borderId="47" xfId="2" applyFont="1" applyFill="1" applyBorder="1" applyAlignment="1">
      <alignment horizontal="center" vertical="center" wrapText="1"/>
    </xf>
    <xf numFmtId="0" fontId="41" fillId="38" borderId="48" xfId="2" applyFont="1" applyFill="1" applyBorder="1" applyAlignment="1">
      <alignment horizontal="center" vertical="center" wrapText="1"/>
    </xf>
    <xf numFmtId="0" fontId="41" fillId="24" borderId="85" xfId="2" applyFont="1" applyFill="1" applyBorder="1" applyAlignment="1">
      <alignment horizontal="center" vertical="center" wrapText="1"/>
    </xf>
    <xf numFmtId="0" fontId="41" fillId="24" borderId="83" xfId="2" applyFont="1" applyFill="1" applyBorder="1" applyAlignment="1">
      <alignment horizontal="center" vertical="center" wrapText="1"/>
    </xf>
    <xf numFmtId="0" fontId="41" fillId="24" borderId="84" xfId="2" applyFont="1" applyFill="1" applyBorder="1" applyAlignment="1">
      <alignment horizontal="center" vertical="center" wrapText="1"/>
    </xf>
    <xf numFmtId="0" fontId="41" fillId="39" borderId="82" xfId="2" applyFont="1" applyFill="1" applyBorder="1" applyAlignment="1">
      <alignment horizontal="center" vertical="center" wrapText="1"/>
    </xf>
    <xf numFmtId="0" fontId="41" fillId="39" borderId="83" xfId="2" applyFont="1" applyFill="1" applyBorder="1" applyAlignment="1">
      <alignment horizontal="center" vertical="center" wrapText="1"/>
    </xf>
    <xf numFmtId="0" fontId="41" fillId="39" borderId="84" xfId="2" applyFont="1" applyFill="1" applyBorder="1" applyAlignment="1">
      <alignment horizontal="center" vertical="center" wrapText="1"/>
    </xf>
    <xf numFmtId="9" fontId="45" fillId="30" borderId="79" xfId="0" applyNumberFormat="1" applyFont="1" applyFill="1" applyBorder="1" applyAlignment="1">
      <alignment horizontal="center" vertical="center" wrapText="1"/>
    </xf>
    <xf numFmtId="9" fontId="45" fillId="30" borderId="80" xfId="0" applyNumberFormat="1" applyFont="1" applyFill="1" applyBorder="1" applyAlignment="1">
      <alignment horizontal="center" vertical="center" wrapText="1"/>
    </xf>
    <xf numFmtId="9" fontId="45" fillId="30" borderId="81" xfId="0" applyNumberFormat="1" applyFont="1" applyFill="1" applyBorder="1" applyAlignment="1">
      <alignment horizontal="center" vertical="center" wrapText="1"/>
    </xf>
    <xf numFmtId="9" fontId="30" fillId="33" borderId="36" xfId="0" applyNumberFormat="1" applyFont="1" applyFill="1" applyBorder="1" applyAlignment="1">
      <alignment horizontal="center" vertical="center" wrapText="1"/>
    </xf>
    <xf numFmtId="9" fontId="30" fillId="33" borderId="35" xfId="0" applyNumberFormat="1" applyFont="1" applyFill="1" applyBorder="1" applyAlignment="1">
      <alignment horizontal="center" vertical="center" wrapText="1"/>
    </xf>
    <xf numFmtId="9" fontId="30"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9" fillId="20" borderId="10" xfId="0" applyFont="1" applyFill="1" applyBorder="1" applyAlignment="1">
      <alignment horizontal="right" vertical="center"/>
    </xf>
    <xf numFmtId="0" fontId="29" fillId="20" borderId="11" xfId="0" applyFont="1" applyFill="1" applyBorder="1" applyAlignment="1">
      <alignment horizontal="right" vertical="center"/>
    </xf>
    <xf numFmtId="0" fontId="29" fillId="19" borderId="0" xfId="0" applyFont="1" applyFill="1" applyAlignment="1">
      <alignment horizontal="center" vertical="center"/>
    </xf>
    <xf numFmtId="0" fontId="29"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4%20APR%202026.xlsx" TargetMode="External"/><Relationship Id="rId1" Type="http://schemas.openxmlformats.org/officeDocument/2006/relationships/externalLinkPath" Target="/Users/simonblair/Library/CloudStorage/Dropbox/ACXPA%20Quality%20Insights/REPORTS/2026/ENERGY/ACCESS/ENERGY%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sheetData sheetId="1"/>
      <sheetData sheetId="2">
        <row r="4">
          <cell r="D4">
            <v>0.52076388888888892</v>
          </cell>
          <cell r="E4">
            <v>0.63961309523809529</v>
          </cell>
          <cell r="F4">
            <v>0.56520833333333342</v>
          </cell>
          <cell r="G4">
            <v>0.65877976190476184</v>
          </cell>
          <cell r="H4">
            <v>0.91145833333333337</v>
          </cell>
          <cell r="I4">
            <v>0.94097222222222221</v>
          </cell>
          <cell r="J4">
            <v>0.62893849206349217</v>
          </cell>
        </row>
        <row r="70">
          <cell r="B70">
            <v>1.9196428571428572E-3</v>
          </cell>
          <cell r="D70">
            <v>1.8537808641975306E-3</v>
          </cell>
          <cell r="E70">
            <v>1.7997685185185183E-3</v>
          </cell>
          <cell r="F70">
            <v>3.2407407407407398E-3</v>
          </cell>
          <cell r="G70">
            <v>2.1875000000000002E-3</v>
          </cell>
          <cell r="H70">
            <v>9.3557098765432089E-4</v>
          </cell>
          <cell r="I70">
            <v>5.9027777777777778E-4</v>
          </cell>
          <cell r="J70">
            <v>2.8298611111111116E-3</v>
          </cell>
        </row>
      </sheetData>
      <sheetData sheetId="3">
        <row r="4">
          <cell r="D4">
            <v>0.49125000000000008</v>
          </cell>
          <cell r="E4">
            <v>0.47041666666666671</v>
          </cell>
          <cell r="F4">
            <v>0.54333333333333333</v>
          </cell>
          <cell r="G4">
            <v>0.51208333333333333</v>
          </cell>
          <cell r="H4">
            <v>0.56416666666666671</v>
          </cell>
          <cell r="I4">
            <v>0.54333333333333333</v>
          </cell>
        </row>
      </sheetData>
      <sheetData sheetId="4">
        <row r="4">
          <cell r="D4">
            <v>0.71416666666666662</v>
          </cell>
          <cell r="E4">
            <v>0.65375000000000005</v>
          </cell>
          <cell r="F4">
            <v>0.30642857142857144</v>
          </cell>
          <cell r="G4">
            <v>0.74541666666666662</v>
          </cell>
          <cell r="H4">
            <v>0.67249999999999999</v>
          </cell>
          <cell r="I4">
            <v>0.74541666666666662</v>
          </cell>
        </row>
      </sheetData>
      <sheetData sheetId="5">
        <row r="4">
          <cell r="D4">
            <v>0.62250000000000005</v>
          </cell>
          <cell r="E4">
            <v>0.47964285714285715</v>
          </cell>
          <cell r="F4">
            <v>0.51535714285714285</v>
          </cell>
          <cell r="G4">
            <v>0.62250000000000005</v>
          </cell>
          <cell r="H4">
            <v>0.56000000000000005</v>
          </cell>
          <cell r="I4">
            <v>0.59125000000000005</v>
          </cell>
        </row>
      </sheetData>
      <sheetData sheetId="6">
        <row r="4">
          <cell r="D4">
            <v>0.77500000000000002</v>
          </cell>
          <cell r="E4">
            <v>0.60089285714285712</v>
          </cell>
          <cell r="F4">
            <v>0.68125000000000002</v>
          </cell>
          <cell r="G4">
            <v>0.55089285714285718</v>
          </cell>
          <cell r="H4">
            <v>0.60089285714285712</v>
          </cell>
          <cell r="I4">
            <v>0.74375000000000002</v>
          </cell>
        </row>
      </sheetData>
      <sheetData sheetId="7">
        <row r="4">
          <cell r="D4">
            <v>0.92708333333333337</v>
          </cell>
          <cell r="E4">
            <v>0.92708333333333337</v>
          </cell>
          <cell r="F4">
            <v>0.86458333333333337</v>
          </cell>
          <cell r="G4">
            <v>0.92708333333333337</v>
          </cell>
          <cell r="H4">
            <v>0.89583333333333337</v>
          </cell>
          <cell r="I4">
            <v>0.92708333333333337</v>
          </cell>
        </row>
      </sheetData>
      <sheetData sheetId="8">
        <row r="4">
          <cell r="D4">
            <v>0.95833333333333337</v>
          </cell>
          <cell r="E4">
            <v>0.95833333333333337</v>
          </cell>
          <cell r="F4">
            <v>0.85416666666666663</v>
          </cell>
          <cell r="G4">
            <v>0.95833333333333337</v>
          </cell>
          <cell r="H4">
            <v>0.95833333333333337</v>
          </cell>
          <cell r="I4">
            <v>0.95833333333333337</v>
          </cell>
        </row>
      </sheetData>
      <sheetData sheetId="9">
        <row r="4">
          <cell r="D4">
            <v>0.79</v>
          </cell>
          <cell r="E4">
            <v>0.79</v>
          </cell>
          <cell r="F4">
            <v>0.49357142857142861</v>
          </cell>
          <cell r="G4">
            <v>0.49357142857142861</v>
          </cell>
          <cell r="H4">
            <v>0.74416666666666664</v>
          </cell>
          <cell r="I4">
            <v>0.46232142857142861</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U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79" customWidth="1"/>
    <col min="34" max="38" width="16.6640625" style="75" customWidth="1"/>
    <col min="39" max="39" width="16.6640625" style="279"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1"/>
      <c r="AH1" s="65"/>
      <c r="AI1" s="65"/>
      <c r="AJ1" s="65"/>
      <c r="AK1" s="65"/>
      <c r="AL1" s="65"/>
      <c r="AM1" s="271"/>
    </row>
    <row r="2" spans="1:39" ht="27" customHeight="1" thickBot="1" x14ac:dyDescent="0.25">
      <c r="A2" s="319" t="s">
        <v>13</v>
      </c>
      <c r="B2" s="340" t="s">
        <v>88</v>
      </c>
      <c r="C2" s="343" t="s">
        <v>89</v>
      </c>
      <c r="D2" s="322" t="s">
        <v>121</v>
      </c>
      <c r="E2" s="323"/>
      <c r="F2" s="323"/>
      <c r="G2" s="323"/>
      <c r="H2" s="323"/>
      <c r="I2" s="323"/>
      <c r="J2" s="323"/>
      <c r="K2" s="323"/>
      <c r="L2" s="323"/>
      <c r="M2" s="323"/>
      <c r="N2" s="323"/>
      <c r="O2" s="323"/>
      <c r="P2" s="323"/>
      <c r="Q2" s="323"/>
      <c r="R2" s="323"/>
      <c r="S2" s="323"/>
      <c r="T2" s="323"/>
      <c r="U2" s="323"/>
      <c r="V2" s="323"/>
      <c r="W2" s="323"/>
      <c r="X2" s="323"/>
      <c r="Y2" s="323"/>
      <c r="Z2" s="324"/>
      <c r="AA2" s="67"/>
      <c r="AB2" s="309" t="s">
        <v>52</v>
      </c>
      <c r="AC2" s="309"/>
      <c r="AD2" s="310"/>
      <c r="AE2" s="120"/>
      <c r="AF2" s="313"/>
      <c r="AG2" s="314"/>
      <c r="AH2" s="314"/>
      <c r="AI2" s="314"/>
      <c r="AJ2" s="314"/>
      <c r="AK2" s="314"/>
      <c r="AL2" s="315"/>
      <c r="AM2" s="308"/>
    </row>
    <row r="3" spans="1:39" ht="27" customHeight="1" thickBot="1" x14ac:dyDescent="0.25">
      <c r="A3" s="320"/>
      <c r="B3" s="341"/>
      <c r="C3" s="344"/>
      <c r="D3" s="325" t="s">
        <v>9</v>
      </c>
      <c r="E3" s="326"/>
      <c r="F3" s="326"/>
      <c r="G3" s="326"/>
      <c r="H3" s="327"/>
      <c r="I3" s="328" t="s">
        <v>10</v>
      </c>
      <c r="J3" s="329"/>
      <c r="K3" s="329"/>
      <c r="L3" s="330"/>
      <c r="M3" s="331" t="s">
        <v>11</v>
      </c>
      <c r="N3" s="332"/>
      <c r="O3" s="332"/>
      <c r="P3" s="332"/>
      <c r="Q3" s="333"/>
      <c r="R3" s="334" t="s">
        <v>12</v>
      </c>
      <c r="S3" s="335"/>
      <c r="T3" s="335"/>
      <c r="U3" s="336"/>
      <c r="V3" s="337" t="s">
        <v>13</v>
      </c>
      <c r="W3" s="338"/>
      <c r="X3" s="338"/>
      <c r="Y3" s="338"/>
      <c r="Z3" s="339"/>
      <c r="AA3" s="68"/>
      <c r="AB3" s="311"/>
      <c r="AC3" s="311"/>
      <c r="AD3" s="312"/>
      <c r="AE3" s="121"/>
      <c r="AF3" s="316"/>
      <c r="AG3" s="317"/>
      <c r="AH3" s="317"/>
      <c r="AI3" s="317"/>
      <c r="AJ3" s="317"/>
      <c r="AK3" s="317"/>
      <c r="AL3" s="318"/>
      <c r="AM3" s="308"/>
    </row>
    <row r="4" spans="1:39" ht="45" customHeight="1" thickBot="1" x14ac:dyDescent="0.25">
      <c r="A4" s="321"/>
      <c r="B4" s="342"/>
      <c r="C4" s="345"/>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208</v>
      </c>
      <c r="AA4" s="70"/>
      <c r="AB4" s="137" t="s">
        <v>80</v>
      </c>
      <c r="AC4" s="137" t="s">
        <v>58</v>
      </c>
      <c r="AD4" s="137" t="s">
        <v>59</v>
      </c>
      <c r="AE4" s="138"/>
      <c r="AF4" s="139" t="s">
        <v>87</v>
      </c>
      <c r="AG4" s="280" t="s">
        <v>41</v>
      </c>
      <c r="AH4" s="140" t="s">
        <v>40</v>
      </c>
      <c r="AI4" s="140" t="s">
        <v>37</v>
      </c>
      <c r="AJ4" s="140" t="s">
        <v>38</v>
      </c>
      <c r="AK4" s="140" t="s">
        <v>39</v>
      </c>
      <c r="AL4" s="259" t="s">
        <v>85</v>
      </c>
      <c r="AM4" s="272" t="s">
        <v>81</v>
      </c>
    </row>
    <row r="5" spans="1:39" ht="24" x14ac:dyDescent="0.2">
      <c r="A5" s="117" t="str">
        <f>OVERALL!D$1</f>
        <v>AGL</v>
      </c>
      <c r="B5" s="141">
        <f>OVERALL!D3</f>
        <v>0.55143750000000002</v>
      </c>
      <c r="C5" s="142">
        <f>OVERALL!D$4</f>
        <v>0.56458333333333344</v>
      </c>
      <c r="D5" s="143">
        <f>OVERALL!D$6</f>
        <v>0.45833333333333331</v>
      </c>
      <c r="E5" s="71">
        <f>OVERALL!D$7</f>
        <v>1</v>
      </c>
      <c r="F5" s="72">
        <f>OVERALL!D$8</f>
        <v>0.33333333333333331</v>
      </c>
      <c r="G5" s="82">
        <f>OVERALL!D$9</f>
        <v>0.5</v>
      </c>
      <c r="H5" s="84">
        <f>OVERALL!D$10</f>
        <v>0</v>
      </c>
      <c r="I5" s="144">
        <f>OVERALL!D$12</f>
        <v>0.33333333333333331</v>
      </c>
      <c r="J5" s="82">
        <f>OVERALL!D$13</f>
        <v>0</v>
      </c>
      <c r="K5" s="83">
        <f>OVERALL!D$14</f>
        <v>1</v>
      </c>
      <c r="L5" s="145">
        <f>OVERALL!D$15</f>
        <v>0</v>
      </c>
      <c r="M5" s="146">
        <f>OVERALL!D$17</f>
        <v>0.625</v>
      </c>
      <c r="N5" s="82">
        <f>OVERALL!D$18</f>
        <v>0.33333333333333331</v>
      </c>
      <c r="O5" s="83">
        <f>OVERALL!D$19</f>
        <v>0.33333333333333331</v>
      </c>
      <c r="P5" s="83">
        <f>OVERALL!D$20</f>
        <v>0.83333333333333337</v>
      </c>
      <c r="Q5" s="145">
        <f>OVERALL!D$21</f>
        <v>1</v>
      </c>
      <c r="R5" s="147">
        <f>OVERALL!D$23</f>
        <v>0.66666666666666663</v>
      </c>
      <c r="S5" s="148">
        <f>OVERALL!D$24</f>
        <v>0.83333333333333337</v>
      </c>
      <c r="T5" s="84">
        <f>OVERALL!D$25</f>
        <v>0.5</v>
      </c>
      <c r="U5" s="84">
        <f>OVERALL!D$26</f>
        <v>0.66666666666666663</v>
      </c>
      <c r="V5" s="149">
        <f>OVERALL!D$28</f>
        <v>0.75</v>
      </c>
      <c r="W5" s="148">
        <f>OVERALL!D$29</f>
        <v>1</v>
      </c>
      <c r="X5" s="84">
        <f>OVERALL!D$30</f>
        <v>0.83333333333333337</v>
      </c>
      <c r="Y5" s="84">
        <f>OVERALL!D$31</f>
        <v>0.5</v>
      </c>
      <c r="Z5" s="84">
        <f>OVERALL!D$32</f>
        <v>0.66666666666666663</v>
      </c>
      <c r="AA5" s="73"/>
      <c r="AB5" s="83">
        <f>OVERALL!D$34</f>
        <v>0</v>
      </c>
      <c r="AC5" s="83">
        <f>OVERALL!$D$35</f>
        <v>0</v>
      </c>
      <c r="AD5" s="83">
        <f>OVERALL!$D$36</f>
        <v>0</v>
      </c>
      <c r="AE5" s="74"/>
      <c r="AF5" s="85">
        <f>OVERALL!D$39</f>
        <v>1</v>
      </c>
      <c r="AG5" s="273">
        <f>OVERALL!D$40</f>
        <v>4.9768518518518512E-3</v>
      </c>
      <c r="AH5" s="86">
        <f>OVERALL!D$41</f>
        <v>5.333333333333333</v>
      </c>
      <c r="AI5" s="83">
        <f>OVERALL!D$42</f>
        <v>0.16666666666666666</v>
      </c>
      <c r="AJ5" s="83">
        <f>OVERALL!D$43</f>
        <v>1</v>
      </c>
      <c r="AK5" s="83">
        <f>OVERALL!D$44</f>
        <v>0.5</v>
      </c>
      <c r="AL5" s="83">
        <f>OVERALL!D$45</f>
        <v>0.16666666666666666</v>
      </c>
      <c r="AM5" s="273">
        <f>OVERALL!D71</f>
        <v>6.8306327160493818E-3</v>
      </c>
    </row>
    <row r="6" spans="1:39" ht="24" x14ac:dyDescent="0.2">
      <c r="A6" s="117" t="str">
        <f>OVERALL!E$1</f>
        <v>ALINTA</v>
      </c>
      <c r="B6" s="141">
        <f>OVERALL!E3</f>
        <v>0.65806448412698404</v>
      </c>
      <c r="C6" s="150">
        <f>OVERALL!E$4</f>
        <v>0.66597222222222208</v>
      </c>
      <c r="D6" s="143">
        <f>OVERALL!E$6</f>
        <v>0.625</v>
      </c>
      <c r="E6" s="151">
        <f>OVERALL!E$7</f>
        <v>1</v>
      </c>
      <c r="F6" s="152">
        <f>OVERALL!E$8</f>
        <v>0.83333333333333337</v>
      </c>
      <c r="G6" s="153">
        <f>OVERALL!E$9</f>
        <v>0.16666666666666666</v>
      </c>
      <c r="H6" s="154">
        <f>OVERALL!E$10</f>
        <v>0.5</v>
      </c>
      <c r="I6" s="144">
        <f>OVERALL!E$12</f>
        <v>0.44444444444444442</v>
      </c>
      <c r="J6" s="153">
        <f>OVERALL!E$13</f>
        <v>0</v>
      </c>
      <c r="K6" s="155">
        <f>OVERALL!E$14</f>
        <v>1</v>
      </c>
      <c r="L6" s="156">
        <f>OVERALL!E$15</f>
        <v>0.33333333333333331</v>
      </c>
      <c r="M6" s="146">
        <f>OVERALL!E$17</f>
        <v>0.70833333333333337</v>
      </c>
      <c r="N6" s="153">
        <f>OVERALL!E$18</f>
        <v>1</v>
      </c>
      <c r="O6" s="155">
        <f>OVERALL!E$19</f>
        <v>0</v>
      </c>
      <c r="P6" s="155">
        <f>OVERALL!E$20</f>
        <v>0.83333333333333337</v>
      </c>
      <c r="Q6" s="156">
        <f>OVERALL!E$21</f>
        <v>1</v>
      </c>
      <c r="R6" s="147">
        <f>OVERALL!E$23</f>
        <v>0.72222222222222221</v>
      </c>
      <c r="S6" s="157">
        <f>OVERALL!E$24</f>
        <v>0.5</v>
      </c>
      <c r="T6" s="154">
        <f>OVERALL!E$25</f>
        <v>0.66666666666666663</v>
      </c>
      <c r="U6" s="154">
        <f>OVERALL!E$26</f>
        <v>1</v>
      </c>
      <c r="V6" s="149">
        <f>OVERALL!E$28</f>
        <v>0.83333333333333337</v>
      </c>
      <c r="W6" s="157">
        <f>OVERALL!E$29</f>
        <v>1</v>
      </c>
      <c r="X6" s="154">
        <f>OVERALL!E$30</f>
        <v>0.83333333333333337</v>
      </c>
      <c r="Y6" s="154">
        <f>OVERALL!E$31</f>
        <v>0.83333333333333337</v>
      </c>
      <c r="Z6" s="154">
        <f>OVERALL!E$32</f>
        <v>0.66666666666666663</v>
      </c>
      <c r="AA6" s="73"/>
      <c r="AB6" s="155">
        <f>OVERALL!E$34</f>
        <v>0</v>
      </c>
      <c r="AC6" s="155">
        <f>OVERALL!$J$35</f>
        <v>0</v>
      </c>
      <c r="AD6" s="155">
        <f>OVERALL!$J$36</f>
        <v>0</v>
      </c>
      <c r="AE6" s="74"/>
      <c r="AF6" s="158">
        <f>OVERALL!E$39</f>
        <v>1</v>
      </c>
      <c r="AG6" s="274">
        <f>OVERALL!E$40</f>
        <v>3.7114197530864201E-3</v>
      </c>
      <c r="AH6" s="159">
        <f>OVERALL!E$41</f>
        <v>6.333333333333333</v>
      </c>
      <c r="AI6" s="155">
        <f>OVERALL!E$42</f>
        <v>0.66666666666666663</v>
      </c>
      <c r="AJ6" s="155">
        <f>OVERALL!E$43</f>
        <v>1</v>
      </c>
      <c r="AK6" s="155">
        <f>OVERALL!E$44</f>
        <v>0.66666666666666663</v>
      </c>
      <c r="AL6" s="155">
        <f>OVERALL!E$45</f>
        <v>0</v>
      </c>
      <c r="AM6" s="274">
        <f>OVERALL!E71</f>
        <v>5.5111882716049384E-3</v>
      </c>
    </row>
    <row r="7" spans="1:39" ht="24" x14ac:dyDescent="0.2">
      <c r="A7" s="117" t="str">
        <f>OVERALL!F$1</f>
        <v>ENERGY AUSTRALIA</v>
      </c>
      <c r="B7" s="141">
        <f>OVERALL!F3</f>
        <v>0.65567361111111122</v>
      </c>
      <c r="C7" s="142">
        <f>OVERALL!F$4</f>
        <v>0.69444444444444453</v>
      </c>
      <c r="D7" s="143">
        <f>OVERALL!F$6</f>
        <v>0.83333333333333337</v>
      </c>
      <c r="E7" s="71">
        <f>OVERALL!F$7</f>
        <v>1</v>
      </c>
      <c r="F7" s="72">
        <f>OVERALL!F$8</f>
        <v>1</v>
      </c>
      <c r="G7" s="82">
        <f>OVERALL!F$9</f>
        <v>0.5</v>
      </c>
      <c r="H7" s="84">
        <f>OVERALL!F$10</f>
        <v>0.83333333333333337</v>
      </c>
      <c r="I7" s="144">
        <f>OVERALL!F$12</f>
        <v>0.3888888888888889</v>
      </c>
      <c r="J7" s="82">
        <f>OVERALL!F$13</f>
        <v>0</v>
      </c>
      <c r="K7" s="83">
        <f>OVERALL!F$14</f>
        <v>1</v>
      </c>
      <c r="L7" s="145">
        <f>OVERALL!F$15</f>
        <v>0.16666666666666666</v>
      </c>
      <c r="M7" s="146">
        <f>OVERALL!F$17</f>
        <v>0.66666666666666663</v>
      </c>
      <c r="N7" s="82">
        <f>OVERALL!F$18</f>
        <v>0.5</v>
      </c>
      <c r="O7" s="83">
        <f>OVERALL!F$19</f>
        <v>0.16666666666666666</v>
      </c>
      <c r="P7" s="83">
        <f>OVERALL!F$20</f>
        <v>1</v>
      </c>
      <c r="Q7" s="145">
        <f>OVERALL!F$21</f>
        <v>1</v>
      </c>
      <c r="R7" s="147">
        <f>OVERALL!F$23</f>
        <v>0.77777777777777779</v>
      </c>
      <c r="S7" s="148">
        <f>OVERALL!F$24</f>
        <v>0.5</v>
      </c>
      <c r="T7" s="84">
        <f>OVERALL!F$25</f>
        <v>0.83333333333333337</v>
      </c>
      <c r="U7" s="84">
        <f>OVERALL!F$26</f>
        <v>1</v>
      </c>
      <c r="V7" s="149">
        <f>OVERALL!F$28</f>
        <v>0.83333333333333337</v>
      </c>
      <c r="W7" s="148">
        <f>OVERALL!F$29</f>
        <v>1</v>
      </c>
      <c r="X7" s="84">
        <f>OVERALL!F$30</f>
        <v>0.83333333333333337</v>
      </c>
      <c r="Y7" s="84">
        <f>OVERALL!F$31</f>
        <v>0.83333333333333337</v>
      </c>
      <c r="Z7" s="84">
        <f>OVERALL!F$32</f>
        <v>0.66666666666666663</v>
      </c>
      <c r="AA7" s="73"/>
      <c r="AB7" s="83">
        <f>OVERALL!F$34</f>
        <v>0</v>
      </c>
      <c r="AC7" s="83">
        <f>OVERALL!$E$35</f>
        <v>0</v>
      </c>
      <c r="AD7" s="83">
        <f>OVERALL!$E$36</f>
        <v>0</v>
      </c>
      <c r="AE7" s="74"/>
      <c r="AF7" s="85">
        <f>OVERALL!F$39</f>
        <v>1</v>
      </c>
      <c r="AG7" s="273">
        <f>OVERALL!F$40</f>
        <v>5.37037037037037E-3</v>
      </c>
      <c r="AH7" s="86">
        <f>OVERALL!F$41</f>
        <v>6.333333333333333</v>
      </c>
      <c r="AI7" s="83">
        <f>OVERALL!F$42</f>
        <v>0.5</v>
      </c>
      <c r="AJ7" s="83">
        <f>OVERALL!F$43</f>
        <v>0.66666666666666663</v>
      </c>
      <c r="AK7" s="83">
        <f>OVERALL!F$44</f>
        <v>0.66666666666666663</v>
      </c>
      <c r="AL7" s="83">
        <f>OVERALL!F$45</f>
        <v>0</v>
      </c>
      <c r="AM7" s="273">
        <f>OVERALL!F71</f>
        <v>8.6111111111111093E-3</v>
      </c>
    </row>
    <row r="8" spans="1:39" ht="24" x14ac:dyDescent="0.2">
      <c r="A8" s="117" t="str">
        <f>OVERALL!G$1</f>
        <v>ORIGIN</v>
      </c>
      <c r="B8" s="141">
        <f>OVERALL!G3</f>
        <v>0.48589781746031746</v>
      </c>
      <c r="C8" s="150">
        <f>OVERALL!G$4</f>
        <v>0.41180555555555559</v>
      </c>
      <c r="D8" s="143">
        <f>OVERALL!G$6</f>
        <v>0.33333333333333337</v>
      </c>
      <c r="E8" s="151">
        <f>OVERALL!G$7</f>
        <v>1</v>
      </c>
      <c r="F8" s="152">
        <f>OVERALL!G$8</f>
        <v>0.16666666666666666</v>
      </c>
      <c r="G8" s="153">
        <f>OVERALL!G$9</f>
        <v>0.16666666666666666</v>
      </c>
      <c r="H8" s="154">
        <f>OVERALL!G$10</f>
        <v>0</v>
      </c>
      <c r="I8" s="144">
        <f>OVERALL!G$12</f>
        <v>0.33333333333333331</v>
      </c>
      <c r="J8" s="153">
        <f>OVERALL!G$13</f>
        <v>0</v>
      </c>
      <c r="K8" s="155">
        <f>OVERALL!G$14</f>
        <v>1</v>
      </c>
      <c r="L8" s="156">
        <f>OVERALL!G$15</f>
        <v>0</v>
      </c>
      <c r="M8" s="146">
        <f>OVERALL!G$17</f>
        <v>0.75</v>
      </c>
      <c r="N8" s="153">
        <f>OVERALL!G$18</f>
        <v>0.8</v>
      </c>
      <c r="O8" s="155">
        <f>OVERALL!G$19</f>
        <v>0.2</v>
      </c>
      <c r="P8" s="155">
        <f>OVERALL!G$20</f>
        <v>1</v>
      </c>
      <c r="Q8" s="156">
        <f>OVERALL!G$21</f>
        <v>1</v>
      </c>
      <c r="R8" s="147">
        <f>OVERALL!G$23</f>
        <v>0.40000000000000008</v>
      </c>
      <c r="S8" s="157">
        <f>OVERALL!G$24</f>
        <v>0.4</v>
      </c>
      <c r="T8" s="154">
        <f>OVERALL!G$25</f>
        <v>0.2</v>
      </c>
      <c r="U8" s="154">
        <f>OVERALL!G$26</f>
        <v>0.6</v>
      </c>
      <c r="V8" s="149">
        <f>OVERALL!G$28</f>
        <v>0.58333333333333337</v>
      </c>
      <c r="W8" s="157">
        <f>OVERALL!G$29</f>
        <v>0.66666666666666663</v>
      </c>
      <c r="X8" s="154">
        <f>OVERALL!G$30</f>
        <v>0.33333333333333331</v>
      </c>
      <c r="Y8" s="154">
        <f>OVERALL!G$31</f>
        <v>0.5</v>
      </c>
      <c r="Z8" s="154">
        <f>OVERALL!G$32</f>
        <v>0.83333333333333337</v>
      </c>
      <c r="AA8" s="73"/>
      <c r="AB8" s="155">
        <f>OVERALL!G$34</f>
        <v>0.16666666666666666</v>
      </c>
      <c r="AC8" s="155">
        <f>OVERALL!$F$35</f>
        <v>0</v>
      </c>
      <c r="AD8" s="155">
        <f>OVERALL!$F$36</f>
        <v>0</v>
      </c>
      <c r="AE8" s="74"/>
      <c r="AF8" s="158">
        <f>OVERALL!G$39</f>
        <v>1</v>
      </c>
      <c r="AG8" s="274">
        <f>OVERALL!G$40</f>
        <v>3.8329475308641978E-3</v>
      </c>
      <c r="AH8" s="159">
        <f>OVERALL!G$41</f>
        <v>4.166666666666667</v>
      </c>
      <c r="AI8" s="155">
        <f>OVERALL!G$42</f>
        <v>0.16666666666666666</v>
      </c>
      <c r="AJ8" s="155">
        <f>OVERALL!G$43</f>
        <v>0.66666666666666663</v>
      </c>
      <c r="AK8" s="155">
        <f>OVERALL!G$44</f>
        <v>0.66666666666666663</v>
      </c>
      <c r="AL8" s="155">
        <f>OVERALL!G$45</f>
        <v>0.16666666666666666</v>
      </c>
      <c r="AM8" s="274">
        <f>OVERALL!G71</f>
        <v>6.020447530864198E-3</v>
      </c>
    </row>
    <row r="9" spans="1:39" ht="24" x14ac:dyDescent="0.2">
      <c r="A9" s="117" t="str">
        <f>OVERALL!H$1</f>
        <v>RED ENERGY</v>
      </c>
      <c r="B9" s="141">
        <f>OVERALL!H3</f>
        <v>0.64871527777777782</v>
      </c>
      <c r="C9" s="142">
        <f>OVERALL!H$4</f>
        <v>0.53611111111111109</v>
      </c>
      <c r="D9" s="143">
        <f>OVERALL!H$6</f>
        <v>0.375</v>
      </c>
      <c r="E9" s="71">
        <f>OVERALL!H$7</f>
        <v>0.83333333333333337</v>
      </c>
      <c r="F9" s="72">
        <f>OVERALL!H$8</f>
        <v>0.16666666666666666</v>
      </c>
      <c r="G9" s="82">
        <f>OVERALL!H$9</f>
        <v>0.5</v>
      </c>
      <c r="H9" s="84">
        <f>OVERALL!H$10</f>
        <v>0</v>
      </c>
      <c r="I9" s="144">
        <f>OVERALL!H$12</f>
        <v>0.3888888888888889</v>
      </c>
      <c r="J9" s="82">
        <f>OVERALL!H$13</f>
        <v>0</v>
      </c>
      <c r="K9" s="83">
        <f>OVERALL!H$14</f>
        <v>1</v>
      </c>
      <c r="L9" s="145">
        <f>OVERALL!H$15</f>
        <v>0.16666666666666666</v>
      </c>
      <c r="M9" s="146">
        <f>OVERALL!H$17</f>
        <v>0.83333333333333326</v>
      </c>
      <c r="N9" s="82">
        <f>OVERALL!H$18</f>
        <v>1</v>
      </c>
      <c r="O9" s="83">
        <f>OVERALL!H$19</f>
        <v>0.33333333333333331</v>
      </c>
      <c r="P9" s="83">
        <f>OVERALL!H$20</f>
        <v>1</v>
      </c>
      <c r="Q9" s="145">
        <f>OVERALL!H$21</f>
        <v>1</v>
      </c>
      <c r="R9" s="147">
        <f>OVERALL!H$23</f>
        <v>0.5</v>
      </c>
      <c r="S9" s="148">
        <f>OVERALL!H$24</f>
        <v>0.16666666666666666</v>
      </c>
      <c r="T9" s="84">
        <f>OVERALL!H$25</f>
        <v>0.5</v>
      </c>
      <c r="U9" s="84">
        <f>OVERALL!H$26</f>
        <v>0.83333333333333337</v>
      </c>
      <c r="V9" s="149">
        <f>OVERALL!H$28</f>
        <v>0.83333333333333337</v>
      </c>
      <c r="W9" s="148">
        <f>OVERALL!H$29</f>
        <v>0.83333333333333337</v>
      </c>
      <c r="X9" s="84">
        <f>OVERALL!H$30</f>
        <v>0.83333333333333337</v>
      </c>
      <c r="Y9" s="84">
        <f>OVERALL!H$31</f>
        <v>0.83333333333333337</v>
      </c>
      <c r="Z9" s="84">
        <f>OVERALL!H$32</f>
        <v>0.83333333333333337</v>
      </c>
      <c r="AA9" s="73"/>
      <c r="AB9" s="83">
        <f>OVERALL!H$34</f>
        <v>0.33333333333333331</v>
      </c>
      <c r="AC9" s="83">
        <f>OVERALL!$K$35</f>
        <v>0</v>
      </c>
      <c r="AD9" s="83">
        <f>OVERALL!$K$36</f>
        <v>0</v>
      </c>
      <c r="AE9" s="74"/>
      <c r="AF9" s="85">
        <f>OVERALL!H$39</f>
        <v>1</v>
      </c>
      <c r="AG9" s="273">
        <f>OVERALL!H$40</f>
        <v>6.6512345679012345E-3</v>
      </c>
      <c r="AH9" s="86">
        <f>OVERALL!H$41</f>
        <v>5.5</v>
      </c>
      <c r="AI9" s="83">
        <f>OVERALL!H$42</f>
        <v>1</v>
      </c>
      <c r="AJ9" s="83">
        <f>OVERALL!H$43</f>
        <v>1</v>
      </c>
      <c r="AK9" s="83">
        <f>OVERALL!H$44</f>
        <v>1</v>
      </c>
      <c r="AL9" s="83">
        <f>OVERALL!H$45</f>
        <v>0</v>
      </c>
      <c r="AM9" s="273">
        <f>OVERALL!H71</f>
        <v>7.586805555555555E-3</v>
      </c>
    </row>
    <row r="10" spans="1:39" ht="24" x14ac:dyDescent="0.2">
      <c r="A10" s="117" t="str">
        <f>OVERALL!I$1</f>
        <v>ENGIE</v>
      </c>
      <c r="B10" s="141">
        <f>OVERALL!I3</f>
        <v>0.73145833333333332</v>
      </c>
      <c r="C10" s="150">
        <f>OVERALL!I$4</f>
        <v>0.64166666666666672</v>
      </c>
      <c r="D10" s="143">
        <f>OVERALL!I$6</f>
        <v>0.58333333333333326</v>
      </c>
      <c r="E10" s="151">
        <f>OVERALL!I$7</f>
        <v>1</v>
      </c>
      <c r="F10" s="152">
        <f>OVERALL!I$8</f>
        <v>0.5</v>
      </c>
      <c r="G10" s="153">
        <f>OVERALL!I$9</f>
        <v>0.66666666666666663</v>
      </c>
      <c r="H10" s="154">
        <f>OVERALL!I$10</f>
        <v>0.16666666666666666</v>
      </c>
      <c r="I10" s="144">
        <f>OVERALL!I$12</f>
        <v>0.66666666666666663</v>
      </c>
      <c r="J10" s="153">
        <f>OVERALL!I$13</f>
        <v>0.33333333333333331</v>
      </c>
      <c r="K10" s="155">
        <f>OVERALL!I$14</f>
        <v>1</v>
      </c>
      <c r="L10" s="156">
        <f>OVERALL!I$15</f>
        <v>0.66666666666666663</v>
      </c>
      <c r="M10" s="146">
        <f>OVERALL!I$17</f>
        <v>0.66666666666666663</v>
      </c>
      <c r="N10" s="153">
        <f>OVERALL!I$18</f>
        <v>0.66666666666666663</v>
      </c>
      <c r="O10" s="155">
        <f>OVERALL!I$19</f>
        <v>0.16666666666666666</v>
      </c>
      <c r="P10" s="155">
        <f>OVERALL!I$20</f>
        <v>0.83333333333333337</v>
      </c>
      <c r="Q10" s="156">
        <f>OVERALL!I$21</f>
        <v>1</v>
      </c>
      <c r="R10" s="147">
        <f>OVERALL!I$23</f>
        <v>0.44444444444444448</v>
      </c>
      <c r="S10" s="157">
        <f>OVERALL!I$24</f>
        <v>0.5</v>
      </c>
      <c r="T10" s="154">
        <f>OVERALL!I$25</f>
        <v>0</v>
      </c>
      <c r="U10" s="154">
        <f>OVERALL!I$26</f>
        <v>0.83333333333333337</v>
      </c>
      <c r="V10" s="149">
        <f>OVERALL!I$28</f>
        <v>0.79166666666666663</v>
      </c>
      <c r="W10" s="157">
        <f>OVERALL!I$29</f>
        <v>1</v>
      </c>
      <c r="X10" s="154">
        <f>OVERALL!I$30</f>
        <v>1</v>
      </c>
      <c r="Y10" s="154">
        <f>OVERALL!I$31</f>
        <v>0.5</v>
      </c>
      <c r="Z10" s="154">
        <f>OVERALL!I$32</f>
        <v>0.66666666666666663</v>
      </c>
      <c r="AA10" s="73"/>
      <c r="AB10" s="155">
        <f>OVERALL!I$34</f>
        <v>0</v>
      </c>
      <c r="AC10" s="155">
        <f>OVERALL!$L$35</f>
        <v>0</v>
      </c>
      <c r="AD10" s="155">
        <f>OVERALL!$L$36</f>
        <v>0</v>
      </c>
      <c r="AE10" s="74"/>
      <c r="AF10" s="158">
        <f>OVERALL!I$39</f>
        <v>1</v>
      </c>
      <c r="AG10" s="274">
        <f>OVERALL!I$40</f>
        <v>8.7789351851851865E-3</v>
      </c>
      <c r="AH10" s="159">
        <f>OVERALL!I$41</f>
        <v>6</v>
      </c>
      <c r="AI10" s="155">
        <f>OVERALL!I$42</f>
        <v>1</v>
      </c>
      <c r="AJ10" s="155">
        <f>OVERALL!I$43</f>
        <v>1</v>
      </c>
      <c r="AK10" s="155">
        <f>OVERALL!I$44</f>
        <v>0.83333333333333337</v>
      </c>
      <c r="AL10" s="155">
        <f>OVERALL!I$45</f>
        <v>0</v>
      </c>
      <c r="AM10" s="274">
        <f>OVERALL!I71</f>
        <v>9.3692129629629646E-3</v>
      </c>
    </row>
    <row r="11" spans="1:39" ht="24" x14ac:dyDescent="0.2">
      <c r="A11" s="117" t="str">
        <f>OVERALL!J$1</f>
        <v>MOMENTUM</v>
      </c>
      <c r="B11" s="141">
        <f>OVERALL!J3</f>
        <v>0.56201488095238095</v>
      </c>
      <c r="C11" s="150">
        <f>OVERALL!J$4</f>
        <v>0.53333333333333333</v>
      </c>
      <c r="D11" s="143">
        <f>OVERALL!J$6</f>
        <v>0.33333333333333337</v>
      </c>
      <c r="E11" s="151">
        <f>OVERALL!J$7</f>
        <v>0.83333333333333337</v>
      </c>
      <c r="F11" s="152">
        <f>OVERALL!J$8</f>
        <v>0.33333333333333331</v>
      </c>
      <c r="G11" s="153">
        <f>OVERALL!J$9</f>
        <v>0.16666666666666666</v>
      </c>
      <c r="H11" s="154">
        <f>OVERALL!J$10</f>
        <v>0</v>
      </c>
      <c r="I11" s="144">
        <f>OVERALL!J$12</f>
        <v>0.33333333333333331</v>
      </c>
      <c r="J11" s="153">
        <f>OVERALL!J$13</f>
        <v>0</v>
      </c>
      <c r="K11" s="155">
        <f>OVERALL!J$14</f>
        <v>1</v>
      </c>
      <c r="L11" s="156">
        <f>OVERALL!J$15</f>
        <v>0</v>
      </c>
      <c r="M11" s="146">
        <f>OVERALL!J$17</f>
        <v>0.66666666666666674</v>
      </c>
      <c r="N11" s="153">
        <f>OVERALL!J$18</f>
        <v>0.83333333333333337</v>
      </c>
      <c r="O11" s="155">
        <f>OVERALL!J$19</f>
        <v>0</v>
      </c>
      <c r="P11" s="155">
        <f>OVERALL!J$20</f>
        <v>0.83333333333333337</v>
      </c>
      <c r="Q11" s="156">
        <f>OVERALL!J$21</f>
        <v>1</v>
      </c>
      <c r="R11" s="147">
        <f>OVERALL!J$23</f>
        <v>0.55555555555555547</v>
      </c>
      <c r="S11" s="157">
        <f>OVERALL!J$24</f>
        <v>0.5</v>
      </c>
      <c r="T11" s="154">
        <f>OVERALL!J$25</f>
        <v>0.33333333333333331</v>
      </c>
      <c r="U11" s="154">
        <f>OVERALL!J$26</f>
        <v>0.83333333333333337</v>
      </c>
      <c r="V11" s="149">
        <f>OVERALL!J$28</f>
        <v>0.75</v>
      </c>
      <c r="W11" s="157">
        <f>OVERALL!J$29</f>
        <v>1</v>
      </c>
      <c r="X11" s="154">
        <f>OVERALL!J$30</f>
        <v>1</v>
      </c>
      <c r="Y11" s="154">
        <f>OVERALL!J$31</f>
        <v>0.33333333333333331</v>
      </c>
      <c r="Z11" s="154">
        <f>OVERALL!J$32</f>
        <v>0.66666666666666663</v>
      </c>
      <c r="AA11" s="73"/>
      <c r="AB11" s="155">
        <f>OVERALL!J$34</f>
        <v>0</v>
      </c>
      <c r="AC11" s="155">
        <f>OVERALL!$L$35</f>
        <v>0</v>
      </c>
      <c r="AD11" s="155">
        <f>OVERALL!$L$36</f>
        <v>0</v>
      </c>
      <c r="AE11" s="74"/>
      <c r="AF11" s="158">
        <f>OVERALL!J$39</f>
        <v>1</v>
      </c>
      <c r="AG11" s="274">
        <f>OVERALL!J$40</f>
        <v>3.7384259259259259E-3</v>
      </c>
      <c r="AH11" s="159">
        <f>OVERALL!J$41</f>
        <v>5.333333333333333</v>
      </c>
      <c r="AI11" s="155">
        <f>OVERALL!J$42</f>
        <v>1</v>
      </c>
      <c r="AJ11" s="155">
        <f>OVERALL!J$43</f>
        <v>1</v>
      </c>
      <c r="AK11" s="155">
        <f>OVERALL!J$44</f>
        <v>0.66666666666666663</v>
      </c>
      <c r="AL11" s="155">
        <f>OVERALL!J$45</f>
        <v>0</v>
      </c>
      <c r="AM11" s="274">
        <f>OVERALL!J71</f>
        <v>6.5682870370370374E-3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5" t="s">
        <v>78</v>
      </c>
      <c r="AH12" s="159" t="s">
        <v>78</v>
      </c>
      <c r="AI12" s="155" t="s">
        <v>78</v>
      </c>
      <c r="AJ12" s="155" t="s">
        <v>78</v>
      </c>
      <c r="AK12" s="155" t="s">
        <v>78</v>
      </c>
      <c r="AL12" s="155" t="s">
        <v>78</v>
      </c>
      <c r="AM12" s="275"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5" t="s">
        <v>78</v>
      </c>
      <c r="AH13" s="159" t="s">
        <v>78</v>
      </c>
      <c r="AI13" s="155" t="s">
        <v>78</v>
      </c>
      <c r="AJ13" s="155" t="s">
        <v>78</v>
      </c>
      <c r="AK13" s="155" t="s">
        <v>78</v>
      </c>
      <c r="AL13" s="155" t="s">
        <v>78</v>
      </c>
      <c r="AM13" s="275"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5" t="s">
        <v>78</v>
      </c>
      <c r="AH14" s="159" t="s">
        <v>78</v>
      </c>
      <c r="AI14" s="155" t="s">
        <v>78</v>
      </c>
      <c r="AJ14" s="155" t="s">
        <v>78</v>
      </c>
      <c r="AK14" s="155" t="s">
        <v>78</v>
      </c>
      <c r="AL14" s="155" t="s">
        <v>78</v>
      </c>
      <c r="AM14" s="275"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6" t="s">
        <v>78</v>
      </c>
      <c r="AH15" s="86" t="s">
        <v>78</v>
      </c>
      <c r="AI15" s="83" t="s">
        <v>78</v>
      </c>
      <c r="AJ15" s="83" t="s">
        <v>78</v>
      </c>
      <c r="AK15" s="83" t="s">
        <v>78</v>
      </c>
      <c r="AL15" s="83" t="s">
        <v>78</v>
      </c>
      <c r="AM15" s="276"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5" t="s">
        <v>78</v>
      </c>
      <c r="AH16" s="159" t="s">
        <v>78</v>
      </c>
      <c r="AI16" s="155" t="s">
        <v>78</v>
      </c>
      <c r="AJ16" s="155" t="s">
        <v>78</v>
      </c>
      <c r="AK16" s="155" t="s">
        <v>78</v>
      </c>
      <c r="AL16" s="155" t="s">
        <v>78</v>
      </c>
      <c r="AM16" s="275"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6" t="s">
        <v>78</v>
      </c>
      <c r="AH17" s="86" t="s">
        <v>78</v>
      </c>
      <c r="AI17" s="83" t="s">
        <v>78</v>
      </c>
      <c r="AJ17" s="83" t="s">
        <v>78</v>
      </c>
      <c r="AK17" s="83" t="s">
        <v>78</v>
      </c>
      <c r="AL17" s="83" t="s">
        <v>78</v>
      </c>
      <c r="AM17" s="276"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5" t="s">
        <v>78</v>
      </c>
      <c r="AH18" s="159" t="s">
        <v>78</v>
      </c>
      <c r="AI18" s="155" t="s">
        <v>78</v>
      </c>
      <c r="AJ18" s="155" t="s">
        <v>78</v>
      </c>
      <c r="AK18" s="155" t="s">
        <v>78</v>
      </c>
      <c r="AL18" s="155" t="s">
        <v>78</v>
      </c>
      <c r="AM18" s="275"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6" t="s">
        <v>78</v>
      </c>
      <c r="AH19" s="86" t="s">
        <v>78</v>
      </c>
      <c r="AI19" s="83" t="s">
        <v>78</v>
      </c>
      <c r="AJ19" s="83" t="s">
        <v>78</v>
      </c>
      <c r="AK19" s="83" t="s">
        <v>78</v>
      </c>
      <c r="AL19" s="83" t="s">
        <v>78</v>
      </c>
      <c r="AM19" s="276"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5" t="s">
        <v>78</v>
      </c>
      <c r="AH20" s="159" t="s">
        <v>78</v>
      </c>
      <c r="AI20" s="155" t="s">
        <v>78</v>
      </c>
      <c r="AJ20" s="155" t="s">
        <v>78</v>
      </c>
      <c r="AK20" s="155" t="s">
        <v>78</v>
      </c>
      <c r="AL20" s="155" t="s">
        <v>78</v>
      </c>
      <c r="AM20" s="275"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6" t="s">
        <v>78</v>
      </c>
      <c r="AH21" s="86" t="s">
        <v>78</v>
      </c>
      <c r="AI21" s="83" t="s">
        <v>78</v>
      </c>
      <c r="AJ21" s="83" t="s">
        <v>78</v>
      </c>
      <c r="AK21" s="83" t="s">
        <v>78</v>
      </c>
      <c r="AL21" s="83" t="s">
        <v>78</v>
      </c>
      <c r="AM21" s="276"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5" t="s">
        <v>78</v>
      </c>
      <c r="AH22" s="159" t="s">
        <v>78</v>
      </c>
      <c r="AI22" s="155" t="s">
        <v>78</v>
      </c>
      <c r="AJ22" s="155" t="s">
        <v>78</v>
      </c>
      <c r="AK22" s="155" t="s">
        <v>78</v>
      </c>
      <c r="AL22" s="155" t="s">
        <v>78</v>
      </c>
      <c r="AM22" s="275"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6" t="s">
        <v>78</v>
      </c>
      <c r="AH23" s="86" t="s">
        <v>78</v>
      </c>
      <c r="AI23" s="83" t="s">
        <v>78</v>
      </c>
      <c r="AJ23" s="83" t="s">
        <v>78</v>
      </c>
      <c r="AK23" s="83" t="s">
        <v>78</v>
      </c>
      <c r="AL23" s="83" t="s">
        <v>78</v>
      </c>
      <c r="AM23" s="276"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5" t="s">
        <v>78</v>
      </c>
      <c r="AH24" s="159" t="s">
        <v>78</v>
      </c>
      <c r="AI24" s="155" t="s">
        <v>78</v>
      </c>
      <c r="AJ24" s="155" t="s">
        <v>78</v>
      </c>
      <c r="AK24" s="155" t="s">
        <v>78</v>
      </c>
      <c r="AL24" s="155" t="s">
        <v>78</v>
      </c>
      <c r="AM24" s="275"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6" t="s">
        <v>78</v>
      </c>
      <c r="AH25" s="86" t="s">
        <v>78</v>
      </c>
      <c r="AI25" s="83" t="s">
        <v>78</v>
      </c>
      <c r="AJ25" s="83" t="s">
        <v>78</v>
      </c>
      <c r="AK25" s="83" t="s">
        <v>78</v>
      </c>
      <c r="AL25" s="83" t="s">
        <v>78</v>
      </c>
      <c r="AM25" s="276"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5" t="s">
        <v>78</v>
      </c>
      <c r="AH26" s="159" t="s">
        <v>78</v>
      </c>
      <c r="AI26" s="155" t="s">
        <v>78</v>
      </c>
      <c r="AJ26" s="155" t="s">
        <v>78</v>
      </c>
      <c r="AK26" s="155" t="s">
        <v>78</v>
      </c>
      <c r="AL26" s="155" t="s">
        <v>78</v>
      </c>
      <c r="AM26" s="275"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6" t="s">
        <v>78</v>
      </c>
      <c r="AH27" s="86" t="s">
        <v>78</v>
      </c>
      <c r="AI27" s="83" t="s">
        <v>78</v>
      </c>
      <c r="AJ27" s="83" t="s">
        <v>78</v>
      </c>
      <c r="AK27" s="83" t="s">
        <v>78</v>
      </c>
      <c r="AL27" s="83" t="s">
        <v>78</v>
      </c>
      <c r="AM27" s="276"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5" t="s">
        <v>78</v>
      </c>
      <c r="AH28" s="159" t="s">
        <v>78</v>
      </c>
      <c r="AI28" s="155" t="s">
        <v>78</v>
      </c>
      <c r="AJ28" s="155" t="s">
        <v>78</v>
      </c>
      <c r="AK28" s="155" t="s">
        <v>78</v>
      </c>
      <c r="AL28" s="155" t="s">
        <v>78</v>
      </c>
      <c r="AM28" s="275"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6" t="s">
        <v>78</v>
      </c>
      <c r="AH29" s="86" t="s">
        <v>78</v>
      </c>
      <c r="AI29" s="83" t="s">
        <v>78</v>
      </c>
      <c r="AJ29" s="83" t="s">
        <v>78</v>
      </c>
      <c r="AK29" s="83" t="s">
        <v>78</v>
      </c>
      <c r="AL29" s="83" t="s">
        <v>78</v>
      </c>
      <c r="AM29" s="276"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5" t="s">
        <v>78</v>
      </c>
      <c r="AH30" s="159" t="s">
        <v>78</v>
      </c>
      <c r="AI30" s="155" t="s">
        <v>78</v>
      </c>
      <c r="AJ30" s="155" t="s">
        <v>78</v>
      </c>
      <c r="AK30" s="155" t="s">
        <v>78</v>
      </c>
      <c r="AL30" s="155" t="s">
        <v>78</v>
      </c>
      <c r="AM30" s="275"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6" t="s">
        <v>78</v>
      </c>
      <c r="AH31" s="86" t="s">
        <v>78</v>
      </c>
      <c r="AI31" s="83" t="s">
        <v>78</v>
      </c>
      <c r="AJ31" s="83" t="s">
        <v>78</v>
      </c>
      <c r="AK31" s="83" t="s">
        <v>78</v>
      </c>
      <c r="AL31" s="83" t="s">
        <v>78</v>
      </c>
      <c r="AM31" s="276"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5" t="s">
        <v>78</v>
      </c>
      <c r="AH32" s="159" t="s">
        <v>78</v>
      </c>
      <c r="AI32" s="155" t="s">
        <v>78</v>
      </c>
      <c r="AJ32" s="155" t="s">
        <v>78</v>
      </c>
      <c r="AK32" s="155" t="s">
        <v>78</v>
      </c>
      <c r="AL32" s="155" t="s">
        <v>78</v>
      </c>
      <c r="AM32" s="275"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6" t="s">
        <v>78</v>
      </c>
      <c r="AH33" s="86" t="s">
        <v>78</v>
      </c>
      <c r="AI33" s="83" t="s">
        <v>78</v>
      </c>
      <c r="AJ33" s="83" t="s">
        <v>78</v>
      </c>
      <c r="AK33" s="83" t="s">
        <v>78</v>
      </c>
      <c r="AL33" s="83" t="s">
        <v>78</v>
      </c>
      <c r="AM33" s="276"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7" t="s">
        <v>78</v>
      </c>
      <c r="AH34" s="254" t="s">
        <v>78</v>
      </c>
      <c r="AI34" s="255" t="s">
        <v>78</v>
      </c>
      <c r="AJ34" s="255" t="s">
        <v>78</v>
      </c>
      <c r="AK34" s="255" t="s">
        <v>78</v>
      </c>
      <c r="AL34" s="255" t="s">
        <v>78</v>
      </c>
      <c r="AM34" s="277" t="s">
        <v>78</v>
      </c>
    </row>
    <row r="35" spans="1:39" s="185" customFormat="1" ht="44" customHeight="1" thickBot="1" x14ac:dyDescent="0.3">
      <c r="A35" s="166" t="s">
        <v>60</v>
      </c>
      <c r="B35" s="167">
        <f>OVERALL!B3</f>
        <v>0.61332312925170063</v>
      </c>
      <c r="C35" s="168">
        <f>OVERALL!B$4</f>
        <v>0.57827380952380947</v>
      </c>
      <c r="D35" s="169">
        <f>OVERALL!B$6</f>
        <v>0.50595238095238093</v>
      </c>
      <c r="E35" s="170">
        <f>OVERALL!B$7</f>
        <v>0.95238095238095233</v>
      </c>
      <c r="F35" s="171">
        <f>OVERALL!B$8</f>
        <v>0.47619047619047622</v>
      </c>
      <c r="G35" s="171">
        <f>OVERALL!B$9</f>
        <v>0.38095238095238093</v>
      </c>
      <c r="H35" s="172">
        <f>OVERALL!B$10</f>
        <v>0.21428571428571433</v>
      </c>
      <c r="I35" s="173">
        <f>OVERALL!B$12</f>
        <v>0.41269841269841268</v>
      </c>
      <c r="J35" s="174">
        <f>OVERALL!B$13</f>
        <v>4.7619047619047616E-2</v>
      </c>
      <c r="K35" s="175">
        <f>OVERALL!B$14</f>
        <v>1</v>
      </c>
      <c r="L35" s="176">
        <f>OVERALL!B$15</f>
        <v>0.19047619047619047</v>
      </c>
      <c r="M35" s="177">
        <f>OVERALL!B$17</f>
        <v>0.70238095238095244</v>
      </c>
      <c r="N35" s="174">
        <f>OVERALL!B$18</f>
        <v>0.73333333333333328</v>
      </c>
      <c r="O35" s="175">
        <f>OVERALL!B$19</f>
        <v>0.17142857142857143</v>
      </c>
      <c r="P35" s="175">
        <f>OVERALL!B$20</f>
        <v>0.90476190476190477</v>
      </c>
      <c r="Q35" s="176">
        <f>OVERALL!B$21</f>
        <v>1</v>
      </c>
      <c r="R35" s="178">
        <f>OVERALL!B$23</f>
        <v>0.58095238095238089</v>
      </c>
      <c r="S35" s="179">
        <f>OVERALL!B$24</f>
        <v>0.48571428571428571</v>
      </c>
      <c r="T35" s="180">
        <f>OVERALL!B$25</f>
        <v>0.4333333333333334</v>
      </c>
      <c r="U35" s="181">
        <f>OVERALL!B$26</f>
        <v>0.82380952380952366</v>
      </c>
      <c r="V35" s="182">
        <f>OVERALL!B$28</f>
        <v>0.76785714285714302</v>
      </c>
      <c r="W35" s="179">
        <f>OVERALL!B$29</f>
        <v>0.9285714285714286</v>
      </c>
      <c r="X35" s="180">
        <f>OVERALL!B$30</f>
        <v>0.80952380952380953</v>
      </c>
      <c r="Y35" s="180">
        <f>OVERALL!B$31</f>
        <v>0.61904761904761896</v>
      </c>
      <c r="Z35" s="180">
        <f>OVERALL!B$32</f>
        <v>0.71428571428571441</v>
      </c>
      <c r="AA35" s="183"/>
      <c r="AB35" s="180">
        <f>OVERALL!B$34</f>
        <v>7.1428571428571425E-2</v>
      </c>
      <c r="AC35" s="180">
        <f>OVERALL!B$35</f>
        <v>4.7619047619047616E-2</v>
      </c>
      <c r="AD35" s="180">
        <f>OVERALL!B$36</f>
        <v>2.3809523809523808E-2</v>
      </c>
      <c r="AE35" s="252">
        <f>OVERALL!B$39</f>
        <v>1</v>
      </c>
      <c r="AF35" s="256">
        <f>OVERALL!B$39</f>
        <v>1</v>
      </c>
      <c r="AG35" s="281">
        <f>OVERALL!B40</f>
        <v>5.2943121693121691E-3</v>
      </c>
      <c r="AH35" s="184">
        <f>OVERALL!B$41</f>
        <v>5.5714285714285721</v>
      </c>
      <c r="AI35" s="180">
        <f>OVERALL!B$42</f>
        <v>0.6428571428571429</v>
      </c>
      <c r="AJ35" s="180">
        <f>OVERALL!B$43</f>
        <v>0.90476190476190477</v>
      </c>
      <c r="AK35" s="180">
        <f>OVERALL!B$44</f>
        <v>0.7142857142857143</v>
      </c>
      <c r="AL35" s="180">
        <f>OVERALL!B$45</f>
        <v>4.7619047619047616E-2</v>
      </c>
      <c r="AM35" s="278">
        <f>OVERALL!B71</f>
        <v>7.2139550264550267E-3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44"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206</v>
      </c>
      <c r="E2" s="297" t="s">
        <v>162</v>
      </c>
      <c r="F2" s="297" t="s">
        <v>150</v>
      </c>
      <c r="G2" s="293" t="s">
        <v>136</v>
      </c>
      <c r="H2" s="301" t="s">
        <v>179</v>
      </c>
      <c r="I2" s="304" t="s">
        <v>188</v>
      </c>
    </row>
    <row r="3" spans="1:11" ht="19" x14ac:dyDescent="0.2">
      <c r="A3" s="32" t="str">
        <f>OVERALL!J1</f>
        <v>MOMENTUM</v>
      </c>
      <c r="B3" s="249">
        <f>OVERALL!J3</f>
        <v>0.56201488095238095</v>
      </c>
      <c r="C3" s="109" t="s">
        <v>74</v>
      </c>
      <c r="D3" s="110">
        <f>IF(D2="-","-",D57)</f>
        <v>0.69491666666666663</v>
      </c>
      <c r="E3" s="110">
        <f t="shared" ref="E3:I3" si="0">IF(E2="-","-",E57)</f>
        <v>0.48491666666666661</v>
      </c>
      <c r="F3" s="110">
        <f t="shared" si="0"/>
        <v>0.57098809523809524</v>
      </c>
      <c r="G3" s="110">
        <f t="shared" si="0"/>
        <v>0.45723809523809522</v>
      </c>
      <c r="H3" s="110">
        <f t="shared" si="0"/>
        <v>0.68116666666666659</v>
      </c>
      <c r="I3" s="110">
        <f t="shared" si="0"/>
        <v>0.48286309523809523</v>
      </c>
    </row>
    <row r="4" spans="1:11" ht="18" customHeight="1" x14ac:dyDescent="0.2">
      <c r="A4" s="17" t="str">
        <f>OVERALL!A4</f>
        <v>QUALITY SCORE</v>
      </c>
      <c r="B4" s="38">
        <f>IF(C2=0, "-", IF(COUNTIF(D39:I39, "n")=C2, "-", IF(COUNT(D4:I4)=0, "-", AVERAGE(D4:I4))))</f>
        <v>0.53333333333333333</v>
      </c>
      <c r="C4" s="59" t="s">
        <v>1</v>
      </c>
      <c r="D4" s="38">
        <f>IF(D48&lt;0%,0%,IF(D$2="-","-",IF(D$39="n", "-", SUM(D$6,D$12,D$17,D$23,D$28,D$34))))</f>
        <v>0.65416666666666679</v>
      </c>
      <c r="E4" s="38">
        <f t="shared" ref="E4:I4" si="1">IF(E48&lt;0%,0%,IF(E$2="-","-",IF(E$39="n", "-", SUM(E$6,E$12,E$17,E$23,E$28,E$34))))</f>
        <v>0.35416666666666663</v>
      </c>
      <c r="F4" s="38">
        <f t="shared" si="1"/>
        <v>0.60416666666666674</v>
      </c>
      <c r="G4" s="38">
        <f t="shared" si="1"/>
        <v>0.44166666666666665</v>
      </c>
      <c r="H4" s="38">
        <f t="shared" si="1"/>
        <v>0.65416666666666667</v>
      </c>
      <c r="I4" s="38">
        <f t="shared" si="1"/>
        <v>0.4916666666666667</v>
      </c>
      <c r="K4" s="12" t="s">
        <v>8</v>
      </c>
    </row>
    <row r="5" spans="1:11" ht="18" customHeight="1" x14ac:dyDescent="0.25">
      <c r="A5" s="58" t="s">
        <v>49</v>
      </c>
      <c r="B5" s="59">
        <f>IF(B6="-","-",AVERAGE(D5:I5))</f>
        <v>0.53333333333333333</v>
      </c>
      <c r="C5" s="59" t="s">
        <v>1</v>
      </c>
      <c r="D5" s="61">
        <f t="shared" ref="D5:I5" si="2">IF(D$2="","",IF(D$39="n", "", SUM(D$6,D$12,D$17,D$23,D$28)))</f>
        <v>0.65416666666666679</v>
      </c>
      <c r="E5" s="61">
        <f t="shared" si="2"/>
        <v>0.35416666666666663</v>
      </c>
      <c r="F5" s="61">
        <f t="shared" si="2"/>
        <v>0.60416666666666674</v>
      </c>
      <c r="G5" s="61">
        <f t="shared" si="2"/>
        <v>0.44166666666666665</v>
      </c>
      <c r="H5" s="61">
        <f t="shared" si="2"/>
        <v>0.65416666666666667</v>
      </c>
      <c r="I5" s="61">
        <f t="shared" si="2"/>
        <v>0.4916666666666667</v>
      </c>
      <c r="K5" s="7" t="s">
        <v>17</v>
      </c>
    </row>
    <row r="6" spans="1:11" ht="18" customHeight="1" x14ac:dyDescent="0.2">
      <c r="A6" s="20" t="str">
        <f>OVERALL!A6</f>
        <v>ENGAGE</v>
      </c>
      <c r="B6" s="21">
        <f>IF(C11=0,"-",AVERAGE(B7:B10))</f>
        <v>0.33333333333333337</v>
      </c>
      <c r="C6" s="62" t="s">
        <v>0</v>
      </c>
      <c r="D6" s="28">
        <f>IF(D11=0,"-",(COUNTIF(D7:D10, "y")/D11)*OVERALL!$C$6)</f>
        <v>0.05</v>
      </c>
      <c r="E6" s="28">
        <f>IF(E11=0,"-",(COUNTIF(E7:E10, "y")/E11)*OVERALL!$C$6)</f>
        <v>0</v>
      </c>
      <c r="F6" s="28">
        <f>IF(F11=0,"-",(COUNTIF(F7:F10, "y")/F11)*OVERALL!$C$6)</f>
        <v>0.1</v>
      </c>
      <c r="G6" s="28">
        <f>IF(G11=0,"-",(COUNTIF(G7:G10, "y")/G11)*OVERALL!$C$6)</f>
        <v>0.1</v>
      </c>
      <c r="H6" s="28">
        <f>IF(H11=0,"-",(COUNTIF(H7:H10, "y")/H11)*OVERALL!$C$6)</f>
        <v>0.1</v>
      </c>
      <c r="I6" s="28">
        <f>IF(I11=0,"-",(COUNTIF(I7:I10, "y")/I11)*OVERALL!$C$6)</f>
        <v>0.05</v>
      </c>
    </row>
    <row r="7" spans="1:11" ht="18" customHeight="1" x14ac:dyDescent="0.2">
      <c r="A7" s="33" t="str">
        <f>OVERALL!A7</f>
        <v>WELCOME</v>
      </c>
      <c r="B7" s="3">
        <f>IF(C7=0,"-",COUNTIF(D7:I7,"y")/C7)</f>
        <v>0.83333333333333337</v>
      </c>
      <c r="C7" s="26">
        <f>$C$2-COUNTIF(D7:I7, "-")</f>
        <v>6</v>
      </c>
      <c r="D7" s="306" t="s">
        <v>123</v>
      </c>
      <c r="E7" s="298" t="s">
        <v>122</v>
      </c>
      <c r="F7" s="298" t="s">
        <v>123</v>
      </c>
      <c r="G7" s="292" t="s">
        <v>123</v>
      </c>
      <c r="H7" s="300" t="s">
        <v>123</v>
      </c>
      <c r="I7" s="303" t="s">
        <v>123</v>
      </c>
      <c r="K7" s="11" t="s">
        <v>2</v>
      </c>
    </row>
    <row r="8" spans="1:11" ht="18" customHeight="1" x14ac:dyDescent="0.25">
      <c r="A8" s="33" t="str">
        <f>OVERALL!A8</f>
        <v>INTENT</v>
      </c>
      <c r="B8" s="3">
        <f>IF(C8=0,"-",COUNTIF(D8:I8,"y")/C8)</f>
        <v>0.33333333333333331</v>
      </c>
      <c r="C8" s="26">
        <f>$C$2-COUNTIF(D8:I8, "-")</f>
        <v>6</v>
      </c>
      <c r="D8" s="306" t="s">
        <v>122</v>
      </c>
      <c r="E8" s="298" t="s">
        <v>122</v>
      </c>
      <c r="F8" s="298" t="s">
        <v>123</v>
      </c>
      <c r="G8" s="292" t="s">
        <v>122</v>
      </c>
      <c r="H8" s="300" t="s">
        <v>123</v>
      </c>
      <c r="I8" s="303" t="s">
        <v>122</v>
      </c>
      <c r="K8" s="7" t="s">
        <v>16</v>
      </c>
    </row>
    <row r="9" spans="1:11" ht="18" customHeight="1" x14ac:dyDescent="0.2">
      <c r="A9" s="33" t="str">
        <f>OVERALL!A9</f>
        <v>NAME</v>
      </c>
      <c r="B9" s="3">
        <f>IF(C9=0,"-",COUNTIF(D9:I9,"y")/C9)</f>
        <v>0.16666666666666666</v>
      </c>
      <c r="C9" s="26">
        <f>$C$2-COUNTIF(D9:I9, "-")</f>
        <v>6</v>
      </c>
      <c r="D9" s="306" t="s">
        <v>122</v>
      </c>
      <c r="E9" s="298" t="s">
        <v>122</v>
      </c>
      <c r="F9" s="298" t="s">
        <v>122</v>
      </c>
      <c r="G9" s="292" t="s">
        <v>123</v>
      </c>
      <c r="H9" s="300" t="s">
        <v>122</v>
      </c>
      <c r="I9" s="303" t="s">
        <v>122</v>
      </c>
      <c r="K9" t="s">
        <v>1</v>
      </c>
    </row>
    <row r="10" spans="1:11" ht="18" customHeight="1" x14ac:dyDescent="0.2">
      <c r="A10" s="33" t="str">
        <f>OVERALL!A10</f>
        <v>BRIDGE</v>
      </c>
      <c r="B10" s="3">
        <f>IF(C10=0,"-",COUNTIF(D10:I10,"y")/C10)</f>
        <v>0</v>
      </c>
      <c r="C10" s="26">
        <f>$C$2-COUNTIF(D10:I10, "-")</f>
        <v>6</v>
      </c>
      <c r="D10" s="306" t="s">
        <v>122</v>
      </c>
      <c r="E10" s="298" t="s">
        <v>122</v>
      </c>
      <c r="F10" s="298" t="s">
        <v>122</v>
      </c>
      <c r="G10" s="292" t="s">
        <v>122</v>
      </c>
      <c r="H10" s="300" t="s">
        <v>122</v>
      </c>
      <c r="I10" s="303"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8"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8" t="s">
        <v>123</v>
      </c>
      <c r="G14" s="292" t="s">
        <v>123</v>
      </c>
      <c r="H14" s="300" t="s">
        <v>123</v>
      </c>
      <c r="I14" s="303" t="s">
        <v>123</v>
      </c>
      <c r="K14" s="9" t="s">
        <v>14</v>
      </c>
    </row>
    <row r="15" spans="1:11" ht="18" customHeight="1" x14ac:dyDescent="0.2">
      <c r="A15" s="33" t="str">
        <f>OVERALL!A15</f>
        <v>CONFIRM</v>
      </c>
      <c r="B15" s="3">
        <f>IF(C15=0,"-",COUNTIF(D15:I15,"y")/C15)</f>
        <v>0</v>
      </c>
      <c r="C15" s="26">
        <f>$C$2-COUNTIF(D15:I15, "-")</f>
        <v>6</v>
      </c>
      <c r="D15" s="306" t="s">
        <v>122</v>
      </c>
      <c r="E15" s="298" t="s">
        <v>122</v>
      </c>
      <c r="F15" s="298" t="s">
        <v>122</v>
      </c>
      <c r="G15" s="292" t="s">
        <v>122</v>
      </c>
      <c r="H15" s="300" t="s">
        <v>122</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0.66666666666666674</v>
      </c>
      <c r="C17" s="1" t="s">
        <v>1</v>
      </c>
      <c r="D17" s="29">
        <f>IF(D22=0,"-",(COUNTIF(D18:D21, "y")/D22)*OVERALL!$C$17)</f>
        <v>0.1875</v>
      </c>
      <c r="E17" s="29">
        <f>IF(E22=0,"-",(COUNTIF(E18:E21, "y")/E22)*OVERALL!$C$17)</f>
        <v>0.1875</v>
      </c>
      <c r="F17" s="29">
        <f>IF(F22=0,"-",(COUNTIF(F18:F21, "y")/F22)*OVERALL!$C$17)</f>
        <v>0.1875</v>
      </c>
      <c r="G17" s="29">
        <f>IF(G22=0,"-",(COUNTIF(G18:G21, "y")/G22)*OVERALL!$C$17)</f>
        <v>0.125</v>
      </c>
      <c r="H17" s="29">
        <f>IF(H22=0,"-",(COUNTIF(H18:H21, "y")/H22)*OVERALL!$C$17)</f>
        <v>0.1875</v>
      </c>
      <c r="I17" s="29">
        <f>IF(I22=0,"-",(COUNTIF(I18:I21, "y")/I22)*OVERALL!$C$17)</f>
        <v>0.125</v>
      </c>
      <c r="K17" s="9" t="s">
        <v>6</v>
      </c>
    </row>
    <row r="18" spans="1:14" ht="18" customHeight="1" x14ac:dyDescent="0.2">
      <c r="A18" s="33" t="str">
        <f>OVERALL!A18</f>
        <v>INFORM</v>
      </c>
      <c r="B18" s="3">
        <f>IF(C18=0,"-",COUNTIF(D18:I18,"y")/C18)</f>
        <v>0.83333333333333337</v>
      </c>
      <c r="C18" s="26">
        <f>$C$2-COUNTIF(D18:I18, "-")</f>
        <v>6</v>
      </c>
      <c r="D18" s="306" t="s">
        <v>123</v>
      </c>
      <c r="E18" s="298" t="s">
        <v>123</v>
      </c>
      <c r="F18" s="298" t="s">
        <v>123</v>
      </c>
      <c r="G18" s="292" t="s">
        <v>122</v>
      </c>
      <c r="H18" s="300" t="s">
        <v>123</v>
      </c>
      <c r="I18" s="303" t="s">
        <v>123</v>
      </c>
    </row>
    <row r="19" spans="1:14" ht="18" customHeight="1" x14ac:dyDescent="0.2">
      <c r="A19" s="33" t="str">
        <f>OVERALL!A19</f>
        <v>CHECK</v>
      </c>
      <c r="B19" s="3">
        <f>IF(C19=0,"-",COUNTIF(D19:I19,"y")/C19)</f>
        <v>0</v>
      </c>
      <c r="C19" s="26">
        <f>$C$2-COUNTIF(D19:I19, "-")</f>
        <v>6</v>
      </c>
      <c r="D19" s="306" t="s">
        <v>122</v>
      </c>
      <c r="E19" s="298" t="s">
        <v>122</v>
      </c>
      <c r="F19" s="298" t="s">
        <v>122</v>
      </c>
      <c r="G19" s="292" t="s">
        <v>122</v>
      </c>
      <c r="H19" s="300" t="s">
        <v>122</v>
      </c>
      <c r="I19" s="303" t="s">
        <v>122</v>
      </c>
    </row>
    <row r="20" spans="1:14" ht="18" customHeight="1" x14ac:dyDescent="0.2">
      <c r="A20" s="33" t="str">
        <f>OVERALL!A20</f>
        <v>SEEK</v>
      </c>
      <c r="B20" s="3">
        <f>IF(C20=0,"-",COUNTIF(D20:I20,"y")/C20)</f>
        <v>0.83333333333333337</v>
      </c>
      <c r="C20" s="26">
        <f>$C$2-COUNTIF(D20:I20, "-")</f>
        <v>6</v>
      </c>
      <c r="D20" s="306" t="s">
        <v>123</v>
      </c>
      <c r="E20" s="298" t="s">
        <v>123</v>
      </c>
      <c r="F20" s="298" t="s">
        <v>123</v>
      </c>
      <c r="G20" s="292" t="s">
        <v>123</v>
      </c>
      <c r="H20" s="300" t="s">
        <v>123</v>
      </c>
      <c r="I20" s="303" t="s">
        <v>122</v>
      </c>
      <c r="K20" t="s">
        <v>1</v>
      </c>
    </row>
    <row r="21" spans="1:14" ht="18" customHeight="1" x14ac:dyDescent="0.2">
      <c r="A21" s="33" t="str">
        <f>OVERALL!A21</f>
        <v>CONFIDENCE</v>
      </c>
      <c r="B21" s="3">
        <f>IF(C21=0,"-",COUNTIF(D21:I21,"y")/C21)</f>
        <v>1</v>
      </c>
      <c r="C21" s="26">
        <f>$C$2-COUNTIF(D21:I21, "-")</f>
        <v>6</v>
      </c>
      <c r="D21" s="306" t="s">
        <v>123</v>
      </c>
      <c r="E21" s="298" t="s">
        <v>123</v>
      </c>
      <c r="F21" s="298"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0.15</v>
      </c>
      <c r="E23" s="29">
        <f>IF(E27=0,"-",(COUNTIF(E24:E26, "y")/E27)*OVERALL!$C$23)</f>
        <v>0</v>
      </c>
      <c r="F23" s="29">
        <f>IF(F27=0,"-",(COUNTIF(F24:F26, "y")/F27)*OVERALL!$C$23)</f>
        <v>9.9999999999999992E-2</v>
      </c>
      <c r="G23" s="29">
        <f>IF(G27=0,"-",(COUNTIF(G24:G26, "y")/G27)*OVERALL!$C$23)</f>
        <v>4.9999999999999996E-2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0.5</v>
      </c>
      <c r="C24" s="26">
        <f>$C$2-COUNTIF(D24:I24, "-")</f>
        <v>6</v>
      </c>
      <c r="D24" s="306" t="s">
        <v>123</v>
      </c>
      <c r="E24" s="298" t="s">
        <v>122</v>
      </c>
      <c r="F24" s="298" t="s">
        <v>123</v>
      </c>
      <c r="G24" s="292" t="s">
        <v>122</v>
      </c>
      <c r="H24" s="300" t="s">
        <v>123</v>
      </c>
      <c r="I24" s="303" t="s">
        <v>122</v>
      </c>
    </row>
    <row r="25" spans="1:14" ht="18" customHeight="1" x14ac:dyDescent="0.2">
      <c r="A25" s="33" t="str">
        <f>OVERALL!A25</f>
        <v>GRATITUDE</v>
      </c>
      <c r="B25" s="3">
        <f>IF(C25=0,"-",COUNTIF(D25:I25,"y")/C25)</f>
        <v>0.33333333333333331</v>
      </c>
      <c r="C25" s="26">
        <f>$C$2-COUNTIF(D25:I25, "-")</f>
        <v>6</v>
      </c>
      <c r="D25" s="306" t="s">
        <v>123</v>
      </c>
      <c r="E25" s="298" t="s">
        <v>122</v>
      </c>
      <c r="F25" s="298" t="s">
        <v>122</v>
      </c>
      <c r="G25" s="292" t="s">
        <v>122</v>
      </c>
      <c r="H25" s="300" t="s">
        <v>122</v>
      </c>
      <c r="I25" s="303" t="s">
        <v>123</v>
      </c>
    </row>
    <row r="26" spans="1:14" ht="18" customHeight="1" x14ac:dyDescent="0.2">
      <c r="A26" s="33" t="str">
        <f>OVERALL!A26</f>
        <v>THANKS</v>
      </c>
      <c r="B26" s="3">
        <f>IF(C26=0,"-",COUNTIF(D26:I26,"y")/C26)</f>
        <v>0.83333333333333337</v>
      </c>
      <c r="C26" s="26">
        <f>$C$2-COUNTIF(D26:I26, "-")</f>
        <v>6</v>
      </c>
      <c r="D26" s="306" t="s">
        <v>123</v>
      </c>
      <c r="E26" s="298" t="s">
        <v>122</v>
      </c>
      <c r="F26" s="298" t="s">
        <v>123</v>
      </c>
      <c r="G26" s="292" t="s">
        <v>123</v>
      </c>
      <c r="H26" s="300" t="s">
        <v>123</v>
      </c>
      <c r="I26" s="303"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0.75</v>
      </c>
      <c r="C28" s="1" t="s">
        <v>1</v>
      </c>
      <c r="D28" s="29">
        <f>IF(D33=0,"-",(COUNTIF(D29:D32, "y")/D33)*OVERALL!$C$28)</f>
        <v>0.2</v>
      </c>
      <c r="E28" s="29">
        <f>IF(E33=0,"-",(COUNTIF(E29:E32, "y")/E33)*OVERALL!$C$28)</f>
        <v>0.1</v>
      </c>
      <c r="F28" s="29">
        <f>IF(F33=0,"-",(COUNTIF(F29:F32, "y")/F33)*OVERALL!$C$28)</f>
        <v>0.15000000000000002</v>
      </c>
      <c r="G28" s="29">
        <f>IF(G33=0,"-",(COUNTIF(G29:G32, "y")/G33)*OVERALL!$C$28)</f>
        <v>0.1</v>
      </c>
      <c r="H28" s="29">
        <f>IF(H33=0,"-",(COUNTIF(H29:H32, "y")/H33)*OVERALL!$C$28)</f>
        <v>0.2</v>
      </c>
      <c r="I28" s="29">
        <f>IF(I33=0,"-",(COUNTIF(I29:I32, "y")/I33)*OVERALL!$C$28)</f>
        <v>0.15000000000000002</v>
      </c>
    </row>
    <row r="29" spans="1:14" ht="18" customHeight="1" x14ac:dyDescent="0.2">
      <c r="A29" s="33" t="str">
        <f>OVERALL!A29</f>
        <v>VIBRANCY</v>
      </c>
      <c r="B29" s="3">
        <f>IF(C29=0,"-",COUNTIF(D29:I29,"y")/C29)</f>
        <v>1</v>
      </c>
      <c r="C29" s="26">
        <f>$C$2-COUNTIF(D29:I29, "-")</f>
        <v>6</v>
      </c>
      <c r="D29" s="306" t="s">
        <v>123</v>
      </c>
      <c r="E29" s="298" t="s">
        <v>123</v>
      </c>
      <c r="F29" s="298" t="s">
        <v>123</v>
      </c>
      <c r="G29" s="292" t="s">
        <v>123</v>
      </c>
      <c r="H29" s="300" t="s">
        <v>123</v>
      </c>
      <c r="I29" s="303" t="s">
        <v>123</v>
      </c>
    </row>
    <row r="30" spans="1:14" ht="18" customHeight="1" x14ac:dyDescent="0.2">
      <c r="A30" s="33" t="str">
        <f>OVERALL!A30</f>
        <v>EMPATHY</v>
      </c>
      <c r="B30" s="3">
        <f>IF(C30=0,"-",COUNTIF(D30:I30,"y")/C30)</f>
        <v>1</v>
      </c>
      <c r="C30" s="26">
        <f>$C$2-COUNTIF(D30:I30, "-")</f>
        <v>6</v>
      </c>
      <c r="D30" s="306" t="s">
        <v>123</v>
      </c>
      <c r="E30" s="298" t="s">
        <v>123</v>
      </c>
      <c r="F30" s="298" t="s">
        <v>123</v>
      </c>
      <c r="G30" s="292" t="s">
        <v>123</v>
      </c>
      <c r="H30" s="300" t="s">
        <v>123</v>
      </c>
      <c r="I30" s="303" t="s">
        <v>123</v>
      </c>
    </row>
    <row r="31" spans="1:14" ht="18" customHeight="1" x14ac:dyDescent="0.2">
      <c r="A31" s="33" t="str">
        <f>OVERALL!A31</f>
        <v>CONTROL</v>
      </c>
      <c r="B31" s="3">
        <f>IF(C31=0,"-",COUNTIF(D31:I31,"y")/C31)</f>
        <v>0.33333333333333331</v>
      </c>
      <c r="C31" s="26">
        <f>$C$2-COUNTIF(D31:I31, "-")</f>
        <v>6</v>
      </c>
      <c r="D31" s="306" t="s">
        <v>123</v>
      </c>
      <c r="E31" s="298" t="s">
        <v>122</v>
      </c>
      <c r="F31" s="298" t="s">
        <v>122</v>
      </c>
      <c r="G31" s="292" t="s">
        <v>122</v>
      </c>
      <c r="H31" s="300" t="s">
        <v>123</v>
      </c>
      <c r="I31" s="303" t="s">
        <v>122</v>
      </c>
    </row>
    <row r="32" spans="1:14" ht="18" customHeight="1" x14ac:dyDescent="0.2">
      <c r="A32" s="33" t="str">
        <f>OVERALL!A32</f>
        <v>CLARITY</v>
      </c>
      <c r="B32" s="3">
        <f>IF(C32=0,"-",COUNTIF(D32:I32,"y")/C32)</f>
        <v>0.66666666666666663</v>
      </c>
      <c r="C32" s="26">
        <f>$C$2-COUNTIF(D32:I32, "-")</f>
        <v>6</v>
      </c>
      <c r="D32" s="306" t="s">
        <v>123</v>
      </c>
      <c r="E32" s="298" t="s">
        <v>122</v>
      </c>
      <c r="F32" s="298" t="s">
        <v>123</v>
      </c>
      <c r="G32" s="292" t="s">
        <v>122</v>
      </c>
      <c r="H32" s="300" t="s">
        <v>123</v>
      </c>
      <c r="I32" s="303"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6" t="s">
        <v>122</v>
      </c>
      <c r="E35" s="298" t="s">
        <v>122</v>
      </c>
      <c r="F35" s="298"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v>
      </c>
      <c r="C36" s="26">
        <f>$C$2-COUNTIF(D36:I36, "-")</f>
        <v>6</v>
      </c>
      <c r="D36" s="306" t="s">
        <v>122</v>
      </c>
      <c r="E36" s="298" t="s">
        <v>122</v>
      </c>
      <c r="F36" s="298"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8" t="s">
        <v>123</v>
      </c>
      <c r="G39" s="292" t="s">
        <v>123</v>
      </c>
      <c r="H39" s="300" t="s">
        <v>123</v>
      </c>
      <c r="I39" s="303" t="s">
        <v>123</v>
      </c>
    </row>
    <row r="40" spans="1:16" ht="18" customHeight="1" x14ac:dyDescent="0.2">
      <c r="A40" s="33" t="str">
        <f>OVERALL!A40</f>
        <v>TALK TIME</v>
      </c>
      <c r="B40" s="282">
        <f>IF(C40=0,"-",AVERAGE(D40:I40))</f>
        <v>3.7384259259259259E-3</v>
      </c>
      <c r="C40" s="26">
        <f t="shared" si="10"/>
        <v>6</v>
      </c>
      <c r="D40" s="286">
        <v>3.1597222222222222E-3</v>
      </c>
      <c r="E40" s="286">
        <v>4.5023148148148149E-3</v>
      </c>
      <c r="F40" s="286">
        <v>4.8495370370370368E-3</v>
      </c>
      <c r="G40" s="286">
        <v>4.4212962962962964E-3</v>
      </c>
      <c r="H40" s="286">
        <v>2.9282407407407408E-3</v>
      </c>
      <c r="I40" s="286">
        <v>2.5694444444444445E-3</v>
      </c>
      <c r="J40" s="46"/>
      <c r="K40" s="266"/>
      <c r="L40" s="266"/>
      <c r="M40" s="266"/>
      <c r="N40" s="266"/>
      <c r="O40" s="266"/>
      <c r="P40" s="266"/>
    </row>
    <row r="41" spans="1:16" ht="18" customHeight="1" x14ac:dyDescent="0.2">
      <c r="A41" s="33" t="str">
        <f>OVERALL!A41</f>
        <v>ASSESSOR RATING (0-10)</v>
      </c>
      <c r="B41" s="288">
        <f>IF(C41=0,"-",SUM(D41:I41)/C41)</f>
        <v>5.333333333333333</v>
      </c>
      <c r="C41" s="26">
        <f t="shared" si="10"/>
        <v>6</v>
      </c>
      <c r="D41" s="290">
        <v>6</v>
      </c>
      <c r="E41" s="290">
        <v>4</v>
      </c>
      <c r="F41" s="290">
        <v>6</v>
      </c>
      <c r="G41" s="290">
        <v>5</v>
      </c>
      <c r="H41" s="290">
        <v>6</v>
      </c>
      <c r="I41" s="290">
        <v>5</v>
      </c>
    </row>
    <row r="42" spans="1:16" ht="18" customHeight="1" x14ac:dyDescent="0.2">
      <c r="A42" s="33" t="str">
        <f>OVERALL!A42</f>
        <v>EXPLAINED KEY FEATURES</v>
      </c>
      <c r="B42" s="3">
        <f>IF(C42=0,"-",COUNTIF(D42:I42, "y")/C42)</f>
        <v>1</v>
      </c>
      <c r="C42" s="26">
        <f t="shared" si="10"/>
        <v>6</v>
      </c>
      <c r="D42" s="306" t="s">
        <v>123</v>
      </c>
      <c r="E42" s="298" t="s">
        <v>123</v>
      </c>
      <c r="F42" s="298" t="s">
        <v>123</v>
      </c>
      <c r="G42" s="292" t="s">
        <v>123</v>
      </c>
      <c r="H42" s="300" t="s">
        <v>123</v>
      </c>
      <c r="I42" s="303" t="s">
        <v>123</v>
      </c>
      <c r="J42" s="47"/>
      <c r="K42" t="s">
        <v>1</v>
      </c>
    </row>
    <row r="43" spans="1:16" ht="18" customHeight="1" x14ac:dyDescent="0.2">
      <c r="A43" s="33" t="str">
        <f>OVERALL!A43</f>
        <v>REVEALED PRICING</v>
      </c>
      <c r="B43" s="3">
        <f>IF(C43=0,"-",COUNTIF(D43:I43, "y")/C43)</f>
        <v>1</v>
      </c>
      <c r="C43" s="26">
        <f t="shared" si="10"/>
        <v>6</v>
      </c>
      <c r="D43" s="306" t="s">
        <v>123</v>
      </c>
      <c r="E43" s="298" t="s">
        <v>123</v>
      </c>
      <c r="F43" s="298" t="s">
        <v>123</v>
      </c>
      <c r="G43" s="292" t="s">
        <v>123</v>
      </c>
      <c r="H43" s="300" t="s">
        <v>123</v>
      </c>
      <c r="I43" s="303" t="s">
        <v>123</v>
      </c>
    </row>
    <row r="44" spans="1:16" ht="18" customHeight="1" x14ac:dyDescent="0.2">
      <c r="A44" s="33" t="str">
        <f>OVERALL!A44</f>
        <v>EXPLAINED ACTIONS &amp; PROCESS</v>
      </c>
      <c r="B44" s="3">
        <f>IF(C44=0,"-",COUNTIF(D44:I44, "y")/C44)</f>
        <v>0.66666666666666663</v>
      </c>
      <c r="C44" s="26">
        <f t="shared" si="10"/>
        <v>6</v>
      </c>
      <c r="D44" s="306" t="s">
        <v>122</v>
      </c>
      <c r="E44" s="298" t="s">
        <v>123</v>
      </c>
      <c r="F44" s="298" t="s">
        <v>123</v>
      </c>
      <c r="G44" s="292" t="s">
        <v>123</v>
      </c>
      <c r="H44" s="300" t="s">
        <v>123</v>
      </c>
      <c r="I44" s="303" t="s">
        <v>122</v>
      </c>
      <c r="K44" s="291" t="s">
        <v>120</v>
      </c>
    </row>
    <row r="45" spans="1:16" ht="18" customHeight="1" x14ac:dyDescent="0.2">
      <c r="A45" s="33" t="str">
        <f>OVERALL!A45</f>
        <v>WEBSITE EDUCATION</v>
      </c>
      <c r="B45" s="3">
        <f>IF(C45=0,"-",COUNTIF(D45:I45, "y")/C45)</f>
        <v>0</v>
      </c>
      <c r="C45" s="26">
        <f t="shared" si="10"/>
        <v>6</v>
      </c>
      <c r="D45" s="306" t="s">
        <v>122</v>
      </c>
      <c r="E45" s="298" t="s">
        <v>122</v>
      </c>
      <c r="F45" s="298" t="s">
        <v>122</v>
      </c>
      <c r="G45" s="292" t="s">
        <v>122</v>
      </c>
      <c r="H45" s="300" t="s">
        <v>122</v>
      </c>
      <c r="I45" s="303" t="s">
        <v>122</v>
      </c>
    </row>
    <row r="46" spans="1:16" ht="18" customHeight="1" x14ac:dyDescent="0.2">
      <c r="A46" s="18"/>
      <c r="B46" s="3"/>
      <c r="C46" s="26"/>
      <c r="D46" s="264"/>
      <c r="E46" s="264"/>
      <c r="F46" s="264"/>
      <c r="G46" s="264"/>
      <c r="H46" s="264"/>
      <c r="I46" s="264"/>
    </row>
    <row r="47" spans="1:16" ht="180" x14ac:dyDescent="0.2">
      <c r="A47" s="25" t="s">
        <v>1</v>
      </c>
      <c r="B47" s="350" t="s">
        <v>36</v>
      </c>
      <c r="C47" s="351"/>
      <c r="D47" s="23" t="s">
        <v>207</v>
      </c>
      <c r="E47" s="23" t="s">
        <v>163</v>
      </c>
      <c r="F47" s="23" t="s">
        <v>151</v>
      </c>
      <c r="G47" s="23" t="s">
        <v>137</v>
      </c>
      <c r="H47" s="23" t="s">
        <v>178</v>
      </c>
      <c r="I47" s="23" t="s">
        <v>189</v>
      </c>
    </row>
    <row r="48" spans="1:16" ht="18" customHeight="1" x14ac:dyDescent="0.2">
      <c r="A48" s="60" t="s">
        <v>48</v>
      </c>
      <c r="D48" s="51">
        <f t="shared" ref="D48:I48" si="11">IF(D$2="","",IF(D$39="n", "", SUM(D$6,D$12,D$17,D$23,D$28,D$34)))</f>
        <v>0.65416666666666679</v>
      </c>
      <c r="E48" s="51">
        <f t="shared" si="11"/>
        <v>0.35416666666666663</v>
      </c>
      <c r="F48" s="51">
        <f t="shared" si="11"/>
        <v>0.60416666666666674</v>
      </c>
      <c r="G48" s="51">
        <f t="shared" si="11"/>
        <v>0.44166666666666665</v>
      </c>
      <c r="H48" s="51">
        <f t="shared" si="11"/>
        <v>0.65416666666666667</v>
      </c>
      <c r="I48" s="51">
        <f t="shared" si="11"/>
        <v>0.4916666666666667</v>
      </c>
    </row>
    <row r="50" spans="1:9" ht="19" x14ac:dyDescent="0.25">
      <c r="A50" s="111" t="s">
        <v>75</v>
      </c>
      <c r="B50" s="91" t="s">
        <v>76</v>
      </c>
    </row>
    <row r="51" spans="1:9" x14ac:dyDescent="0.2">
      <c r="A51" s="112" t="s">
        <v>64</v>
      </c>
      <c r="B51" s="113">
        <v>0.3</v>
      </c>
      <c r="C51" s="112"/>
      <c r="D51" s="257">
        <f>[1]MOMENTUM!D$4</f>
        <v>0.79</v>
      </c>
      <c r="E51" s="257">
        <f>[1]MOMENTUM!E$4</f>
        <v>0.79</v>
      </c>
      <c r="F51" s="257">
        <f>[1]MOMENTUM!F$4</f>
        <v>0.49357142857142861</v>
      </c>
      <c r="G51" s="257">
        <f>[1]MOMENTUM!G$4</f>
        <v>0.49357142857142861</v>
      </c>
      <c r="H51" s="257">
        <f>[1]MOMENTUM!H$4</f>
        <v>0.74416666666666664</v>
      </c>
      <c r="I51" s="257">
        <f>[1]MOMENTUM!I$4</f>
        <v>0.46232142857142861</v>
      </c>
    </row>
    <row r="52" spans="1:9" x14ac:dyDescent="0.2">
      <c r="A52" s="112" t="s">
        <v>65</v>
      </c>
      <c r="B52" s="113">
        <v>0.7</v>
      </c>
      <c r="C52" s="112"/>
      <c r="D52" s="258">
        <f t="shared" ref="D52:I52" si="12">D4</f>
        <v>0.65416666666666679</v>
      </c>
      <c r="E52" s="258">
        <f t="shared" si="12"/>
        <v>0.35416666666666663</v>
      </c>
      <c r="F52" s="258">
        <f t="shared" si="12"/>
        <v>0.60416666666666674</v>
      </c>
      <c r="G52" s="258">
        <f t="shared" si="12"/>
        <v>0.44166666666666665</v>
      </c>
      <c r="H52" s="258">
        <f t="shared" si="12"/>
        <v>0.65416666666666667</v>
      </c>
      <c r="I52" s="258">
        <f t="shared" si="12"/>
        <v>0.4916666666666667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0.23699999999999999</v>
      </c>
      <c r="E55" s="258">
        <f t="shared" ref="E55:I55" si="13">IF(E51="-","-",E51*$B$51)</f>
        <v>0.23699999999999999</v>
      </c>
      <c r="F55" s="258">
        <f t="shared" si="13"/>
        <v>0.14807142857142858</v>
      </c>
      <c r="G55" s="258">
        <f t="shared" si="13"/>
        <v>0.14807142857142858</v>
      </c>
      <c r="H55" s="258">
        <f t="shared" si="13"/>
        <v>0.22324999999999998</v>
      </c>
      <c r="I55" s="258">
        <f t="shared" si="13"/>
        <v>0.13869642857142858</v>
      </c>
    </row>
    <row r="56" spans="1:9" x14ac:dyDescent="0.2">
      <c r="A56" s="112" t="s">
        <v>65</v>
      </c>
      <c r="B56" s="112"/>
      <c r="C56" s="112"/>
      <c r="D56" s="258">
        <f t="shared" ref="D56:I56" si="14">IF(D52="-","-",D52*$B$52)</f>
        <v>0.45791666666666669</v>
      </c>
      <c r="E56" s="258">
        <f t="shared" si="14"/>
        <v>0.24791666666666662</v>
      </c>
      <c r="F56" s="258">
        <f t="shared" si="14"/>
        <v>0.42291666666666672</v>
      </c>
      <c r="G56" s="258">
        <f t="shared" si="14"/>
        <v>0.30916666666666665</v>
      </c>
      <c r="H56" s="258">
        <f t="shared" si="14"/>
        <v>0.45791666666666664</v>
      </c>
      <c r="I56" s="258">
        <f t="shared" si="14"/>
        <v>0.34416666666666668</v>
      </c>
    </row>
    <row r="57" spans="1:9" x14ac:dyDescent="0.2">
      <c r="A57" s="115" t="s">
        <v>60</v>
      </c>
      <c r="B57" s="115"/>
      <c r="C57" s="115"/>
      <c r="D57" s="116">
        <f t="shared" ref="D57:I57" si="15">IF(D51="","",IF(D52="","",SUM(D55:D56)))</f>
        <v>0.69491666666666663</v>
      </c>
      <c r="E57" s="116">
        <f t="shared" si="15"/>
        <v>0.48491666666666661</v>
      </c>
      <c r="F57" s="116">
        <f t="shared" si="15"/>
        <v>0.57098809523809524</v>
      </c>
      <c r="G57" s="116">
        <f t="shared" si="15"/>
        <v>0.45723809523809522</v>
      </c>
      <c r="H57" s="116">
        <f t="shared" si="15"/>
        <v>0.68116666666666659</v>
      </c>
      <c r="I57" s="116">
        <f t="shared" si="15"/>
        <v>0.48286309523809523</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86</v>
      </c>
      <c r="B1" s="265" t="s">
        <v>88</v>
      </c>
      <c r="C1" s="265" t="s">
        <v>89</v>
      </c>
      <c r="D1" s="265" t="s">
        <v>53</v>
      </c>
      <c r="E1" s="265" t="s">
        <v>18</v>
      </c>
      <c r="F1" s="265" t="s">
        <v>19</v>
      </c>
      <c r="G1" s="265" t="s">
        <v>20</v>
      </c>
      <c r="H1" s="265" t="s">
        <v>21</v>
      </c>
      <c r="I1" s="265" t="s">
        <v>54</v>
      </c>
      <c r="J1" s="265" t="s">
        <v>22</v>
      </c>
      <c r="K1" s="265" t="s">
        <v>23</v>
      </c>
      <c r="L1" s="265" t="s">
        <v>24</v>
      </c>
      <c r="M1" s="265" t="s">
        <v>55</v>
      </c>
      <c r="N1" s="265" t="s">
        <v>25</v>
      </c>
      <c r="O1" s="265" t="s">
        <v>28</v>
      </c>
      <c r="P1" s="265" t="s">
        <v>26</v>
      </c>
      <c r="Q1" s="265" t="s">
        <v>27</v>
      </c>
      <c r="R1" s="265" t="s">
        <v>56</v>
      </c>
      <c r="S1" s="265" t="s">
        <v>30</v>
      </c>
      <c r="T1" s="265" t="s">
        <v>29</v>
      </c>
      <c r="U1" s="265" t="s">
        <v>31</v>
      </c>
      <c r="V1" s="265" t="s">
        <v>57</v>
      </c>
      <c r="W1" s="265" t="s">
        <v>32</v>
      </c>
      <c r="X1" s="265" t="s">
        <v>33</v>
      </c>
      <c r="Y1" s="265" t="s">
        <v>34</v>
      </c>
      <c r="Z1" s="265" t="s">
        <v>208</v>
      </c>
      <c r="AA1" s="265" t="s">
        <v>80</v>
      </c>
      <c r="AB1" s="265" t="s">
        <v>58</v>
      </c>
      <c r="AC1" s="265" t="s">
        <v>59</v>
      </c>
      <c r="AD1" s="265" t="s">
        <v>87</v>
      </c>
      <c r="AE1" s="265" t="s">
        <v>41</v>
      </c>
      <c r="AF1" s="265" t="s">
        <v>40</v>
      </c>
      <c r="AG1" s="265" t="s">
        <v>37</v>
      </c>
      <c r="AH1" s="265" t="s">
        <v>38</v>
      </c>
      <c r="AI1" s="265" t="s">
        <v>39</v>
      </c>
      <c r="AJ1" s="265" t="s">
        <v>85</v>
      </c>
      <c r="AK1" s="265" t="s">
        <v>81</v>
      </c>
    </row>
    <row r="2" spans="1:37" x14ac:dyDescent="0.2">
      <c r="A2" t="str">
        <f>IF(LEN(REPORT!A5)&gt;2,REPORT!A5,"")</f>
        <v>AGL</v>
      </c>
      <c r="B2">
        <f>IFERROR(INDEX(REPORT!$A$2:$BZ$100,MATCH($A2,REPORT!$A$2:$A$100,0),MATCH(B$1,REPORT!$A$2:$BZ$2,0)),"")</f>
        <v>0.55143750000000002</v>
      </c>
      <c r="C2">
        <f>IFERROR(INDEX(REPORT!$A$2:$BZ$100,MATCH($A2,REPORT!$A$2:$A$100,0),MATCH(C$1,REPORT!$A$2:$BZ$2,0)),"")</f>
        <v>0.56458333333333344</v>
      </c>
      <c r="D2">
        <f>IFERROR(INDEX(REPORT!$A$4:$BZ$100,MATCH($A2,REPORT!$A$4:$A$100,0),MATCH(D$1,REPORT!$A$4:$BZ$4,0)),"")</f>
        <v>0.45833333333333331</v>
      </c>
      <c r="E2">
        <f>IFERROR(INDEX(REPORT!$A$4:$BZ$100,MATCH($A2,REPORT!$A$4:$A$100,0),MATCH(E$1,REPORT!$A$4:$BZ$4,0)),"")</f>
        <v>1</v>
      </c>
      <c r="F2">
        <f>IFERROR(INDEX(REPORT!$A$4:$BZ$100,MATCH($A2,REPORT!$A$4:$A$100,0),MATCH(F$1,REPORT!$A$4:$BZ$4,0)),"")</f>
        <v>0.33333333333333331</v>
      </c>
      <c r="G2">
        <f>IFERROR(INDEX(REPORT!$A$4:$BZ$100,MATCH($A2,REPORT!$A$4:$A$100,0),MATCH(G$1,REPORT!$A$4:$BZ$4,0)),"")</f>
        <v>0.5</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0.625</v>
      </c>
      <c r="N2">
        <f>IFERROR(INDEX(REPORT!$A$4:$BZ$100,MATCH($A2,REPORT!$A$4:$A$100,0),MATCH(N$1,REPORT!$A$4:$BZ$4,0)),"")</f>
        <v>0.33333333333333331</v>
      </c>
      <c r="O2">
        <f>IFERROR(INDEX(REPORT!$A$4:$BZ$100,MATCH($A2,REPORT!$A$4:$A$100,0),MATCH(O$1,REPORT!$A$4:$BZ$4,0)),"")</f>
        <v>0.33333333333333331</v>
      </c>
      <c r="P2">
        <f>IFERROR(INDEX(REPORT!$A$4:$BZ$100,MATCH($A2,REPORT!$A$4:$A$100,0),MATCH(P$1,REPORT!$A$4:$BZ$4,0)),"")</f>
        <v>0.83333333333333337</v>
      </c>
      <c r="Q2">
        <f>IFERROR(INDEX(REPORT!$A$4:$BZ$100,MATCH($A2,REPORT!$A$4:$A$100,0),MATCH(Q$1,REPORT!$A$4:$BZ$4,0)),"")</f>
        <v>1</v>
      </c>
      <c r="R2">
        <f>IFERROR(INDEX(REPORT!$A$4:$BZ$100,MATCH($A2,REPORT!$A$4:$A$100,0),MATCH(R$1,REPORT!$A$4:$BZ$4,0)),"")</f>
        <v>0.66666666666666663</v>
      </c>
      <c r="S2">
        <f>IFERROR(INDEX(REPORT!$A$4:$BZ$100,MATCH($A2,REPORT!$A$4:$A$100,0),MATCH(S$1,REPORT!$A$4:$BZ$4,0)),"")</f>
        <v>0.83333333333333337</v>
      </c>
      <c r="T2">
        <f>IFERROR(INDEX(REPORT!$A$4:$BZ$100,MATCH($A2,REPORT!$A$4:$A$100,0),MATCH(T$1,REPORT!$A$4:$BZ$4,0)),"")</f>
        <v>0.5</v>
      </c>
      <c r="U2">
        <f>IFERROR(INDEX(REPORT!$A$4:$BZ$100,MATCH($A2,REPORT!$A$4:$A$100,0),MATCH(U$1,REPORT!$A$4:$BZ$4,0)),"")</f>
        <v>0.66666666666666663</v>
      </c>
      <c r="V2">
        <f>IFERROR(INDEX(REPORT!$A$4:$BZ$100,MATCH($A2,REPORT!$A$4:$A$100,0),MATCH(V$1,REPORT!$A$4:$BZ$4,0)),"")</f>
        <v>0.75</v>
      </c>
      <c r="W2">
        <f>IFERROR(INDEX(REPORT!$A$4:$BZ$100,MATCH($A2,REPORT!$A$4:$A$100,0),MATCH(W$1,REPORT!$A$4:$BZ$4,0)),"")</f>
        <v>1</v>
      </c>
      <c r="X2">
        <f>IFERROR(INDEX(REPORT!$A$4:$BZ$100,MATCH($A2,REPORT!$A$4:$A$100,0),MATCH(X$1,REPORT!$A$4:$BZ$4,0)),"")</f>
        <v>0.83333333333333337</v>
      </c>
      <c r="Y2">
        <f>IFERROR(INDEX(REPORT!$A$4:$BZ$100,MATCH($A2,REPORT!$A$4:$A$100,0),MATCH(Y$1,REPORT!$A$4:$BZ$4,0)),"")</f>
        <v>0.5</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4.9768518518518512E-3</v>
      </c>
      <c r="AF2">
        <f>IFERROR(INDEX(REPORT!$A$4:$BZ$100,MATCH($A2,REPORT!$A$4:$A$100,0),MATCH(AF$1,REPORT!$A$4:$BZ$4,0)),"")</f>
        <v>5.333333333333333</v>
      </c>
      <c r="AG2">
        <f>IFERROR(INDEX(REPORT!$A$4:$BZ$100,MATCH($A2,REPORT!$A$4:$A$100,0),MATCH(AG$1,REPORT!$A$4:$BZ$4,0)),"")</f>
        <v>0.16666666666666666</v>
      </c>
      <c r="AH2">
        <f>IFERROR(INDEX(REPORT!$A$4:$BZ$100,MATCH($A2,REPORT!$A$4:$A$100,0),MATCH(AH$1,REPORT!$A$4:$BZ$4,0)),"")</f>
        <v>1</v>
      </c>
      <c r="AI2">
        <f>IFERROR(INDEX(REPORT!$A$4:$BZ$100,MATCH($A2,REPORT!$A$4:$A$100,0),MATCH(AI$1,REPORT!$A$4:$BZ$4,0)),"")</f>
        <v>0.5</v>
      </c>
      <c r="AJ2">
        <f>IFERROR(INDEX(REPORT!$A$4:$BZ$100,MATCH($A2,REPORT!$A$4:$A$100,0),MATCH(AJ$1,REPORT!$A$4:$BZ$4,0)),"")</f>
        <v>0.16666666666666666</v>
      </c>
      <c r="AK2">
        <f>IFERROR(INDEX(REPORT!$A$4:$BZ$100,MATCH($A2,REPORT!$A$4:$A$100,0),MATCH(AK$1,REPORT!$A$4:$BZ$4,0)),"")</f>
        <v>6.8306327160493818E-3</v>
      </c>
    </row>
    <row r="3" spans="1:37" x14ac:dyDescent="0.2">
      <c r="A3" t="str">
        <f>IF(LEN(REPORT!A6)&gt;2,REPORT!A6,"")</f>
        <v>ALINTA</v>
      </c>
      <c r="B3">
        <f>IFERROR(INDEX(REPORT!$A$2:$BZ$100,MATCH($A3,REPORT!$A$2:$A$100,0),MATCH(B$1,REPORT!$A$2:$BZ$2,0)),"")</f>
        <v>0.65806448412698404</v>
      </c>
      <c r="C3">
        <f>IFERROR(INDEX(REPORT!$A$2:$BZ$100,MATCH($A3,REPORT!$A$2:$A$100,0),MATCH(C$1,REPORT!$A$2:$BZ$2,0)),"")</f>
        <v>0.66597222222222208</v>
      </c>
      <c r="D3">
        <f>IFERROR(INDEX(REPORT!$A$4:$BZ$100,MATCH($A3,REPORT!$A$4:$A$100,0),MATCH(D$1,REPORT!$A$4:$BZ$4,0)),"")</f>
        <v>0.625</v>
      </c>
      <c r="E3">
        <f>IFERROR(INDEX(REPORT!$A$4:$BZ$100,MATCH($A3,REPORT!$A$4:$A$100,0),MATCH(E$1,REPORT!$A$4:$BZ$4,0)),"")</f>
        <v>1</v>
      </c>
      <c r="F3">
        <f>IFERROR(INDEX(REPORT!$A$4:$BZ$100,MATCH($A3,REPORT!$A$4:$A$100,0),MATCH(F$1,REPORT!$A$4:$BZ$4,0)),"")</f>
        <v>0.83333333333333337</v>
      </c>
      <c r="G3">
        <f>IFERROR(INDEX(REPORT!$A$4:$BZ$100,MATCH($A3,REPORT!$A$4:$A$100,0),MATCH(G$1,REPORT!$A$4:$BZ$4,0)),"")</f>
        <v>0.16666666666666666</v>
      </c>
      <c r="H3">
        <f>IFERROR(INDEX(REPORT!$A$4:$BZ$100,MATCH($A3,REPORT!$A$4:$A$100,0),MATCH(H$1,REPORT!$A$4:$BZ$4,0)),"")</f>
        <v>0.5</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0.70833333333333337</v>
      </c>
      <c r="N3">
        <f>IFERROR(INDEX(REPORT!$A$4:$BZ$100,MATCH($A3,REPORT!$A$4:$A$100,0),MATCH(N$1,REPORT!$A$4:$BZ$4,0)),"")</f>
        <v>1</v>
      </c>
      <c r="O3">
        <f>IFERROR(INDEX(REPORT!$A$4:$BZ$100,MATCH($A3,REPORT!$A$4:$A$100,0),MATCH(O$1,REPORT!$A$4:$BZ$4,0)),"")</f>
        <v>0</v>
      </c>
      <c r="P3">
        <f>IFERROR(INDEX(REPORT!$A$4:$BZ$100,MATCH($A3,REPORT!$A$4:$A$100,0),MATCH(P$1,REPORT!$A$4:$BZ$4,0)),"")</f>
        <v>0.83333333333333337</v>
      </c>
      <c r="Q3">
        <f>IFERROR(INDEX(REPORT!$A$4:$BZ$100,MATCH($A3,REPORT!$A$4:$A$100,0),MATCH(Q$1,REPORT!$A$4:$BZ$4,0)),"")</f>
        <v>1</v>
      </c>
      <c r="R3">
        <f>IFERROR(INDEX(REPORT!$A$4:$BZ$100,MATCH($A3,REPORT!$A$4:$A$100,0),MATCH(R$1,REPORT!$A$4:$BZ$4,0)),"")</f>
        <v>0.72222222222222221</v>
      </c>
      <c r="S3">
        <f>IFERROR(INDEX(REPORT!$A$4:$BZ$100,MATCH($A3,REPORT!$A$4:$A$100,0),MATCH(S$1,REPORT!$A$4:$BZ$4,0)),"")</f>
        <v>0.5</v>
      </c>
      <c r="T3">
        <f>IFERROR(INDEX(REPORT!$A$4:$BZ$100,MATCH($A3,REPORT!$A$4:$A$100,0),MATCH(T$1,REPORT!$A$4:$BZ$4,0)),"")</f>
        <v>0.66666666666666663</v>
      </c>
      <c r="U3">
        <f>IFERROR(INDEX(REPORT!$A$4:$BZ$100,MATCH($A3,REPORT!$A$4:$A$100,0),MATCH(U$1,REPORT!$A$4:$BZ$4,0)),"")</f>
        <v>1</v>
      </c>
      <c r="V3">
        <f>IFERROR(INDEX(REPORT!$A$4:$BZ$100,MATCH($A3,REPORT!$A$4:$A$100,0),MATCH(V$1,REPORT!$A$4:$BZ$4,0)),"")</f>
        <v>0.83333333333333337</v>
      </c>
      <c r="W3">
        <f>IFERROR(INDEX(REPORT!$A$4:$BZ$100,MATCH($A3,REPORT!$A$4:$A$100,0),MATCH(W$1,REPORT!$A$4:$BZ$4,0)),"")</f>
        <v>1</v>
      </c>
      <c r="X3">
        <f>IFERROR(INDEX(REPORT!$A$4:$BZ$100,MATCH($A3,REPORT!$A$4:$A$100,0),MATCH(X$1,REPORT!$A$4:$BZ$4,0)),"")</f>
        <v>0.83333333333333337</v>
      </c>
      <c r="Y3">
        <f>IFERROR(INDEX(REPORT!$A$4:$BZ$100,MATCH($A3,REPORT!$A$4:$A$100,0),MATCH(Y$1,REPORT!$A$4:$BZ$4,0)),"")</f>
        <v>0.83333333333333337</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3.7114197530864201E-3</v>
      </c>
      <c r="AF3">
        <f>IFERROR(INDEX(REPORT!$A$4:$BZ$100,MATCH($A3,REPORT!$A$4:$A$100,0),MATCH(AF$1,REPORT!$A$4:$BZ$4,0)),"")</f>
        <v>6.333333333333333</v>
      </c>
      <c r="AG3">
        <f>IFERROR(INDEX(REPORT!$A$4:$BZ$100,MATCH($A3,REPORT!$A$4:$A$100,0),MATCH(AG$1,REPORT!$A$4:$BZ$4,0)),"")</f>
        <v>0.66666666666666663</v>
      </c>
      <c r="AH3">
        <f>IFERROR(INDEX(REPORT!$A$4:$BZ$100,MATCH($A3,REPORT!$A$4:$A$100,0),MATCH(AH$1,REPORT!$A$4:$BZ$4,0)),"")</f>
        <v>1</v>
      </c>
      <c r="AI3">
        <f>IFERROR(INDEX(REPORT!$A$4:$BZ$100,MATCH($A3,REPORT!$A$4:$A$100,0),MATCH(AI$1,REPORT!$A$4:$BZ$4,0)),"")</f>
        <v>0.66666666666666663</v>
      </c>
      <c r="AJ3">
        <f>IFERROR(INDEX(REPORT!$A$4:$BZ$100,MATCH($A3,REPORT!$A$4:$A$100,0),MATCH(AJ$1,REPORT!$A$4:$BZ$4,0)),"")</f>
        <v>0</v>
      </c>
      <c r="AK3">
        <f>IFERROR(INDEX(REPORT!$A$4:$BZ$100,MATCH($A3,REPORT!$A$4:$A$100,0),MATCH(AK$1,REPORT!$A$4:$BZ$4,0)),"")</f>
        <v>5.5111882716049384E-3</v>
      </c>
    </row>
    <row r="4" spans="1:37" x14ac:dyDescent="0.2">
      <c r="A4" t="str">
        <f>IF(LEN(REPORT!A7)&gt;2,REPORT!A7,"")</f>
        <v>ENERGY AUSTRALIA</v>
      </c>
      <c r="B4">
        <f>IFERROR(INDEX(REPORT!$A$2:$BZ$100,MATCH($A4,REPORT!$A$2:$A$100,0),MATCH(B$1,REPORT!$A$2:$BZ$2,0)),"")</f>
        <v>0.65567361111111122</v>
      </c>
      <c r="C4">
        <f>IFERROR(INDEX(REPORT!$A$2:$BZ$100,MATCH($A4,REPORT!$A$2:$A$100,0),MATCH(C$1,REPORT!$A$2:$BZ$2,0)),"")</f>
        <v>0.69444444444444453</v>
      </c>
      <c r="D4">
        <f>IFERROR(INDEX(REPORT!$A$4:$BZ$100,MATCH($A4,REPORT!$A$4:$A$100,0),MATCH(D$1,REPORT!$A$4:$BZ$4,0)),"")</f>
        <v>0.83333333333333337</v>
      </c>
      <c r="E4">
        <f>IFERROR(INDEX(REPORT!$A$4:$BZ$100,MATCH($A4,REPORT!$A$4:$A$100,0),MATCH(E$1,REPORT!$A$4:$BZ$4,0)),"")</f>
        <v>1</v>
      </c>
      <c r="F4">
        <f>IFERROR(INDEX(REPORT!$A$4:$BZ$100,MATCH($A4,REPORT!$A$4:$A$100,0),MATCH(F$1,REPORT!$A$4:$BZ$4,0)),"")</f>
        <v>1</v>
      </c>
      <c r="G4">
        <f>IFERROR(INDEX(REPORT!$A$4:$BZ$100,MATCH($A4,REPORT!$A$4:$A$100,0),MATCH(G$1,REPORT!$A$4:$BZ$4,0)),"")</f>
        <v>0.5</v>
      </c>
      <c r="H4">
        <f>IFERROR(INDEX(REPORT!$A$4:$BZ$100,MATCH($A4,REPORT!$A$4:$A$100,0),MATCH(H$1,REPORT!$A$4:$BZ$4,0)),"")</f>
        <v>0.83333333333333337</v>
      </c>
      <c r="I4">
        <f>IFERROR(INDEX(REPORT!$A$4:$BZ$100,MATCH($A4,REPORT!$A$4:$A$100,0),MATCH(I$1,REPORT!$A$4:$BZ$4,0)),"")</f>
        <v>0.3888888888888889</v>
      </c>
      <c r="J4">
        <f>IFERROR(INDEX(REPORT!$A$4:$BZ$100,MATCH($A4,REPORT!$A$4:$A$100,0),MATCH(J$1,REPORT!$A$4:$BZ$4,0)),"")</f>
        <v>0</v>
      </c>
      <c r="K4">
        <f>IFERROR(INDEX(REPORT!$A$4:$BZ$100,MATCH($A4,REPORT!$A$4:$A$100,0),MATCH(K$1,REPORT!$A$4:$BZ$4,0)),"")</f>
        <v>1</v>
      </c>
      <c r="L4">
        <f>IFERROR(INDEX(REPORT!$A$4:$BZ$100,MATCH($A4,REPORT!$A$4:$A$100,0),MATCH(L$1,REPORT!$A$4:$BZ$4,0)),"")</f>
        <v>0.16666666666666666</v>
      </c>
      <c r="M4">
        <f>IFERROR(INDEX(REPORT!$A$4:$BZ$100,MATCH($A4,REPORT!$A$4:$A$100,0),MATCH(M$1,REPORT!$A$4:$BZ$4,0)),"")</f>
        <v>0.66666666666666663</v>
      </c>
      <c r="N4">
        <f>IFERROR(INDEX(REPORT!$A$4:$BZ$100,MATCH($A4,REPORT!$A$4:$A$100,0),MATCH(N$1,REPORT!$A$4:$BZ$4,0)),"")</f>
        <v>0.5</v>
      </c>
      <c r="O4">
        <f>IFERROR(INDEX(REPORT!$A$4:$BZ$100,MATCH($A4,REPORT!$A$4:$A$100,0),MATCH(O$1,REPORT!$A$4:$BZ$4,0)),"")</f>
        <v>0.16666666666666666</v>
      </c>
      <c r="P4">
        <f>IFERROR(INDEX(REPORT!$A$4:$BZ$100,MATCH($A4,REPORT!$A$4:$A$100,0),MATCH(P$1,REPORT!$A$4:$BZ$4,0)),"")</f>
        <v>1</v>
      </c>
      <c r="Q4">
        <f>IFERROR(INDEX(REPORT!$A$4:$BZ$100,MATCH($A4,REPORT!$A$4:$A$100,0),MATCH(Q$1,REPORT!$A$4:$BZ$4,0)),"")</f>
        <v>1</v>
      </c>
      <c r="R4">
        <f>IFERROR(INDEX(REPORT!$A$4:$BZ$100,MATCH($A4,REPORT!$A$4:$A$100,0),MATCH(R$1,REPORT!$A$4:$BZ$4,0)),"")</f>
        <v>0.77777777777777779</v>
      </c>
      <c r="S4">
        <f>IFERROR(INDEX(REPORT!$A$4:$BZ$100,MATCH($A4,REPORT!$A$4:$A$100,0),MATCH(S$1,REPORT!$A$4:$BZ$4,0)),"")</f>
        <v>0.5</v>
      </c>
      <c r="T4">
        <f>IFERROR(INDEX(REPORT!$A$4:$BZ$100,MATCH($A4,REPORT!$A$4:$A$100,0),MATCH(T$1,REPORT!$A$4:$BZ$4,0)),"")</f>
        <v>0.83333333333333337</v>
      </c>
      <c r="U4">
        <f>IFERROR(INDEX(REPORT!$A$4:$BZ$100,MATCH($A4,REPORT!$A$4:$A$100,0),MATCH(U$1,REPORT!$A$4:$BZ$4,0)),"")</f>
        <v>1</v>
      </c>
      <c r="V4">
        <f>IFERROR(INDEX(REPORT!$A$4:$BZ$100,MATCH($A4,REPORT!$A$4:$A$100,0),MATCH(V$1,REPORT!$A$4:$BZ$4,0)),"")</f>
        <v>0.83333333333333337</v>
      </c>
      <c r="W4">
        <f>IFERROR(INDEX(REPORT!$A$4:$BZ$100,MATCH($A4,REPORT!$A$4:$A$100,0),MATCH(W$1,REPORT!$A$4:$BZ$4,0)),"")</f>
        <v>1</v>
      </c>
      <c r="X4">
        <f>IFERROR(INDEX(REPORT!$A$4:$BZ$100,MATCH($A4,REPORT!$A$4:$A$100,0),MATCH(X$1,REPORT!$A$4:$BZ$4,0)),"")</f>
        <v>0.83333333333333337</v>
      </c>
      <c r="Y4">
        <f>IFERROR(INDEX(REPORT!$A$4:$BZ$100,MATCH($A4,REPORT!$A$4:$A$100,0),MATCH(Y$1,REPORT!$A$4:$BZ$4,0)),"")</f>
        <v>0.83333333333333337</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5.37037037037037E-3</v>
      </c>
      <c r="AF4">
        <f>IFERROR(INDEX(REPORT!$A$4:$BZ$100,MATCH($A4,REPORT!$A$4:$A$100,0),MATCH(AF$1,REPORT!$A$4:$BZ$4,0)),"")</f>
        <v>6.333333333333333</v>
      </c>
      <c r="AG4">
        <f>IFERROR(INDEX(REPORT!$A$4:$BZ$100,MATCH($A4,REPORT!$A$4:$A$100,0),MATCH(AG$1,REPORT!$A$4:$BZ$4,0)),"")</f>
        <v>0.5</v>
      </c>
      <c r="AH4">
        <f>IFERROR(INDEX(REPORT!$A$4:$BZ$100,MATCH($A4,REPORT!$A$4:$A$100,0),MATCH(AH$1,REPORT!$A$4:$BZ$4,0)),"")</f>
        <v>0.66666666666666663</v>
      </c>
      <c r="AI4">
        <f>IFERROR(INDEX(REPORT!$A$4:$BZ$100,MATCH($A4,REPORT!$A$4:$A$100,0),MATCH(AI$1,REPORT!$A$4:$BZ$4,0)),"")</f>
        <v>0.66666666666666663</v>
      </c>
      <c r="AJ4">
        <f>IFERROR(INDEX(REPORT!$A$4:$BZ$100,MATCH($A4,REPORT!$A$4:$A$100,0),MATCH(AJ$1,REPORT!$A$4:$BZ$4,0)),"")</f>
        <v>0</v>
      </c>
      <c r="AK4">
        <f>IFERROR(INDEX(REPORT!$A$4:$BZ$100,MATCH($A4,REPORT!$A$4:$A$100,0),MATCH(AK$1,REPORT!$A$4:$BZ$4,0)),"")</f>
        <v>8.6111111111111093E-3</v>
      </c>
    </row>
    <row r="5" spans="1:37" x14ac:dyDescent="0.2">
      <c r="A5" t="str">
        <f>IF(LEN(REPORT!A8)&gt;2,REPORT!A8,"")</f>
        <v>ORIGIN</v>
      </c>
      <c r="B5">
        <f>IFERROR(INDEX(REPORT!$A$2:$BZ$100,MATCH($A5,REPORT!$A$2:$A$100,0),MATCH(B$1,REPORT!$A$2:$BZ$2,0)),"")</f>
        <v>0.48589781746031746</v>
      </c>
      <c r="C5">
        <f>IFERROR(INDEX(REPORT!$A$2:$BZ$100,MATCH($A5,REPORT!$A$2:$A$100,0),MATCH(C$1,REPORT!$A$2:$BZ$2,0)),"")</f>
        <v>0.41180555555555559</v>
      </c>
      <c r="D5">
        <f>IFERROR(INDEX(REPORT!$A$4:$BZ$100,MATCH($A5,REPORT!$A$4:$A$100,0),MATCH(D$1,REPORT!$A$4:$BZ$4,0)),"")</f>
        <v>0.33333333333333337</v>
      </c>
      <c r="E5">
        <f>IFERROR(INDEX(REPORT!$A$4:$BZ$100,MATCH($A5,REPORT!$A$4:$A$100,0),MATCH(E$1,REPORT!$A$4:$BZ$4,0)),"")</f>
        <v>1</v>
      </c>
      <c r="F5">
        <f>IFERROR(INDEX(REPORT!$A$4:$BZ$100,MATCH($A5,REPORT!$A$4:$A$100,0),MATCH(F$1,REPORT!$A$4:$BZ$4,0)),"")</f>
        <v>0.16666666666666666</v>
      </c>
      <c r="G5">
        <f>IFERROR(INDEX(REPORT!$A$4:$BZ$100,MATCH($A5,REPORT!$A$4:$A$100,0),MATCH(G$1,REPORT!$A$4:$BZ$4,0)),"")</f>
        <v>0.16666666666666666</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0.75</v>
      </c>
      <c r="N5">
        <f>IFERROR(INDEX(REPORT!$A$4:$BZ$100,MATCH($A5,REPORT!$A$4:$A$100,0),MATCH(N$1,REPORT!$A$4:$BZ$4,0)),"")</f>
        <v>0.8</v>
      </c>
      <c r="O5">
        <f>IFERROR(INDEX(REPORT!$A$4:$BZ$100,MATCH($A5,REPORT!$A$4:$A$100,0),MATCH(O$1,REPORT!$A$4:$BZ$4,0)),"")</f>
        <v>0.2</v>
      </c>
      <c r="P5">
        <f>IFERROR(INDEX(REPORT!$A$4:$BZ$100,MATCH($A5,REPORT!$A$4:$A$100,0),MATCH(P$1,REPORT!$A$4:$BZ$4,0)),"")</f>
        <v>1</v>
      </c>
      <c r="Q5">
        <f>IFERROR(INDEX(REPORT!$A$4:$BZ$100,MATCH($A5,REPORT!$A$4:$A$100,0),MATCH(Q$1,REPORT!$A$4:$BZ$4,0)),"")</f>
        <v>1</v>
      </c>
      <c r="R5">
        <f>IFERROR(INDEX(REPORT!$A$4:$BZ$100,MATCH($A5,REPORT!$A$4:$A$100,0),MATCH(R$1,REPORT!$A$4:$BZ$4,0)),"")</f>
        <v>0.40000000000000008</v>
      </c>
      <c r="S5">
        <f>IFERROR(INDEX(REPORT!$A$4:$BZ$100,MATCH($A5,REPORT!$A$4:$A$100,0),MATCH(S$1,REPORT!$A$4:$BZ$4,0)),"")</f>
        <v>0.4</v>
      </c>
      <c r="T5">
        <f>IFERROR(INDEX(REPORT!$A$4:$BZ$100,MATCH($A5,REPORT!$A$4:$A$100,0),MATCH(T$1,REPORT!$A$4:$BZ$4,0)),"")</f>
        <v>0.2</v>
      </c>
      <c r="U5">
        <f>IFERROR(INDEX(REPORT!$A$4:$BZ$100,MATCH($A5,REPORT!$A$4:$A$100,0),MATCH(U$1,REPORT!$A$4:$BZ$4,0)),"")</f>
        <v>0.6</v>
      </c>
      <c r="V5">
        <f>IFERROR(INDEX(REPORT!$A$4:$BZ$100,MATCH($A5,REPORT!$A$4:$A$100,0),MATCH(V$1,REPORT!$A$4:$BZ$4,0)),"")</f>
        <v>0.58333333333333337</v>
      </c>
      <c r="W5">
        <f>IFERROR(INDEX(REPORT!$A$4:$BZ$100,MATCH($A5,REPORT!$A$4:$A$100,0),MATCH(W$1,REPORT!$A$4:$BZ$4,0)),"")</f>
        <v>0.66666666666666663</v>
      </c>
      <c r="X5">
        <f>IFERROR(INDEX(REPORT!$A$4:$BZ$100,MATCH($A5,REPORT!$A$4:$A$100,0),MATCH(X$1,REPORT!$A$4:$BZ$4,0)),"")</f>
        <v>0.33333333333333331</v>
      </c>
      <c r="Y5">
        <f>IFERROR(INDEX(REPORT!$A$4:$BZ$100,MATCH($A5,REPORT!$A$4:$A$100,0),MATCH(Y$1,REPORT!$A$4:$BZ$4,0)),"")</f>
        <v>0.5</v>
      </c>
      <c r="Z5">
        <f>IFERROR(INDEX(REPORT!$A$4:$BZ$100,MATCH($A5,REPORT!$A$4:$A$100,0),MATCH(Z$1,REPORT!$A$4:$BZ$4,0)),"")</f>
        <v>0.83333333333333337</v>
      </c>
      <c r="AA5">
        <f>IFERROR(INDEX(REPORT!$A$4:$BZ$100,MATCH($A5,REPORT!$A$4:$A$100,0),MATCH(AA$1,REPORT!$A$4:$BZ$4,0)),"")</f>
        <v>0.16666666666666666</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3.8329475308641978E-3</v>
      </c>
      <c r="AF5">
        <f>IFERROR(INDEX(REPORT!$A$4:$BZ$100,MATCH($A5,REPORT!$A$4:$A$100,0),MATCH(AF$1,REPORT!$A$4:$BZ$4,0)),"")</f>
        <v>4.166666666666667</v>
      </c>
      <c r="AG5">
        <f>IFERROR(INDEX(REPORT!$A$4:$BZ$100,MATCH($A5,REPORT!$A$4:$A$100,0),MATCH(AG$1,REPORT!$A$4:$BZ$4,0)),"")</f>
        <v>0.16666666666666666</v>
      </c>
      <c r="AH5">
        <f>IFERROR(INDEX(REPORT!$A$4:$BZ$100,MATCH($A5,REPORT!$A$4:$A$100,0),MATCH(AH$1,REPORT!$A$4:$BZ$4,0)),"")</f>
        <v>0.66666666666666663</v>
      </c>
      <c r="AI5">
        <f>IFERROR(INDEX(REPORT!$A$4:$BZ$100,MATCH($A5,REPORT!$A$4:$A$100,0),MATCH(AI$1,REPORT!$A$4:$BZ$4,0)),"")</f>
        <v>0.66666666666666663</v>
      </c>
      <c r="AJ5">
        <f>IFERROR(INDEX(REPORT!$A$4:$BZ$100,MATCH($A5,REPORT!$A$4:$A$100,0),MATCH(AJ$1,REPORT!$A$4:$BZ$4,0)),"")</f>
        <v>0.16666666666666666</v>
      </c>
      <c r="AK5">
        <f>IFERROR(INDEX(REPORT!$A$4:$BZ$100,MATCH($A5,REPORT!$A$4:$A$100,0),MATCH(AK$1,REPORT!$A$4:$BZ$4,0)),"")</f>
        <v>6.020447530864198E-3</v>
      </c>
    </row>
    <row r="6" spans="1:37" x14ac:dyDescent="0.2">
      <c r="A6" t="str">
        <f>IF(LEN(REPORT!A9)&gt;2,REPORT!A9,"")</f>
        <v>RED ENERGY</v>
      </c>
      <c r="B6">
        <f>IFERROR(INDEX(REPORT!$A$2:$BZ$100,MATCH($A6,REPORT!$A$2:$A$100,0),MATCH(B$1,REPORT!$A$2:$BZ$2,0)),"")</f>
        <v>0.64871527777777782</v>
      </c>
      <c r="C6">
        <f>IFERROR(INDEX(REPORT!$A$2:$BZ$100,MATCH($A6,REPORT!$A$2:$A$100,0),MATCH(C$1,REPORT!$A$2:$BZ$2,0)),"")</f>
        <v>0.53611111111111109</v>
      </c>
      <c r="D6">
        <f>IFERROR(INDEX(REPORT!$A$4:$BZ$100,MATCH($A6,REPORT!$A$4:$A$100,0),MATCH(D$1,REPORT!$A$4:$BZ$4,0)),"")</f>
        <v>0.375</v>
      </c>
      <c r="E6">
        <f>IFERROR(INDEX(REPORT!$A$4:$BZ$100,MATCH($A6,REPORT!$A$4:$A$100,0),MATCH(E$1,REPORT!$A$4:$BZ$4,0)),"")</f>
        <v>0.83333333333333337</v>
      </c>
      <c r="F6">
        <f>IFERROR(INDEX(REPORT!$A$4:$BZ$100,MATCH($A6,REPORT!$A$4:$A$100,0),MATCH(F$1,REPORT!$A$4:$BZ$4,0)),"")</f>
        <v>0.16666666666666666</v>
      </c>
      <c r="G6">
        <f>IFERROR(INDEX(REPORT!$A$4:$BZ$100,MATCH($A6,REPORT!$A$4:$A$100,0),MATCH(G$1,REPORT!$A$4:$BZ$4,0)),"")</f>
        <v>0.5</v>
      </c>
      <c r="H6">
        <f>IFERROR(INDEX(REPORT!$A$4:$BZ$100,MATCH($A6,REPORT!$A$4:$A$100,0),MATCH(H$1,REPORT!$A$4:$BZ$4,0)),"")</f>
        <v>0</v>
      </c>
      <c r="I6">
        <f>IFERROR(INDEX(REPORT!$A$4:$BZ$100,MATCH($A6,REPORT!$A$4:$A$100,0),MATCH(I$1,REPORT!$A$4:$BZ$4,0)),"")</f>
        <v>0.3888888888888889</v>
      </c>
      <c r="J6">
        <f>IFERROR(INDEX(REPORT!$A$4:$BZ$100,MATCH($A6,REPORT!$A$4:$A$100,0),MATCH(J$1,REPORT!$A$4:$BZ$4,0)),"")</f>
        <v>0</v>
      </c>
      <c r="K6">
        <f>IFERROR(INDEX(REPORT!$A$4:$BZ$100,MATCH($A6,REPORT!$A$4:$A$100,0),MATCH(K$1,REPORT!$A$4:$BZ$4,0)),"")</f>
        <v>1</v>
      </c>
      <c r="L6">
        <f>IFERROR(INDEX(REPORT!$A$4:$BZ$100,MATCH($A6,REPORT!$A$4:$A$100,0),MATCH(L$1,REPORT!$A$4:$BZ$4,0)),"")</f>
        <v>0.16666666666666666</v>
      </c>
      <c r="M6">
        <f>IFERROR(INDEX(REPORT!$A$4:$BZ$100,MATCH($A6,REPORT!$A$4:$A$100,0),MATCH(M$1,REPORT!$A$4:$BZ$4,0)),"")</f>
        <v>0.83333333333333326</v>
      </c>
      <c r="N6">
        <f>IFERROR(INDEX(REPORT!$A$4:$BZ$100,MATCH($A6,REPORT!$A$4:$A$100,0),MATCH(N$1,REPORT!$A$4:$BZ$4,0)),"")</f>
        <v>1</v>
      </c>
      <c r="O6">
        <f>IFERROR(INDEX(REPORT!$A$4:$BZ$100,MATCH($A6,REPORT!$A$4:$A$100,0),MATCH(O$1,REPORT!$A$4:$BZ$4,0)),"")</f>
        <v>0.33333333333333331</v>
      </c>
      <c r="P6">
        <f>IFERROR(INDEX(REPORT!$A$4:$BZ$100,MATCH($A6,REPORT!$A$4:$A$100,0),MATCH(P$1,REPORT!$A$4:$BZ$4,0)),"")</f>
        <v>1</v>
      </c>
      <c r="Q6">
        <f>IFERROR(INDEX(REPORT!$A$4:$BZ$100,MATCH($A6,REPORT!$A$4:$A$100,0),MATCH(Q$1,REPORT!$A$4:$BZ$4,0)),"")</f>
        <v>1</v>
      </c>
      <c r="R6">
        <f>IFERROR(INDEX(REPORT!$A$4:$BZ$100,MATCH($A6,REPORT!$A$4:$A$100,0),MATCH(R$1,REPORT!$A$4:$BZ$4,0)),"")</f>
        <v>0.5</v>
      </c>
      <c r="S6">
        <f>IFERROR(INDEX(REPORT!$A$4:$BZ$100,MATCH($A6,REPORT!$A$4:$A$100,0),MATCH(S$1,REPORT!$A$4:$BZ$4,0)),"")</f>
        <v>0.16666666666666666</v>
      </c>
      <c r="T6">
        <f>IFERROR(INDEX(REPORT!$A$4:$BZ$100,MATCH($A6,REPORT!$A$4:$A$100,0),MATCH(T$1,REPORT!$A$4:$BZ$4,0)),"")</f>
        <v>0.5</v>
      </c>
      <c r="U6">
        <f>IFERROR(INDEX(REPORT!$A$4:$BZ$100,MATCH($A6,REPORT!$A$4:$A$100,0),MATCH(U$1,REPORT!$A$4:$BZ$4,0)),"")</f>
        <v>0.83333333333333337</v>
      </c>
      <c r="V6">
        <f>IFERROR(INDEX(REPORT!$A$4:$BZ$100,MATCH($A6,REPORT!$A$4:$A$100,0),MATCH(V$1,REPORT!$A$4:$BZ$4,0)),"")</f>
        <v>0.83333333333333337</v>
      </c>
      <c r="W6">
        <f>IFERROR(INDEX(REPORT!$A$4:$BZ$100,MATCH($A6,REPORT!$A$4:$A$100,0),MATCH(W$1,REPORT!$A$4:$BZ$4,0)),"")</f>
        <v>0.83333333333333337</v>
      </c>
      <c r="X6">
        <f>IFERROR(INDEX(REPORT!$A$4:$BZ$100,MATCH($A6,REPORT!$A$4:$A$100,0),MATCH(X$1,REPORT!$A$4:$BZ$4,0)),"")</f>
        <v>0.83333333333333337</v>
      </c>
      <c r="Y6">
        <f>IFERROR(INDEX(REPORT!$A$4:$BZ$100,MATCH($A6,REPORT!$A$4:$A$100,0),MATCH(Y$1,REPORT!$A$4:$BZ$4,0)),"")</f>
        <v>0.83333333333333337</v>
      </c>
      <c r="Z6">
        <f>IFERROR(INDEX(REPORT!$A$4:$BZ$100,MATCH($A6,REPORT!$A$4:$A$100,0),MATCH(Z$1,REPORT!$A$4:$BZ$4,0)),"")</f>
        <v>0.83333333333333337</v>
      </c>
      <c r="AA6">
        <f>IFERROR(INDEX(REPORT!$A$4:$BZ$100,MATCH($A6,REPORT!$A$4:$A$100,0),MATCH(AA$1,REPORT!$A$4:$BZ$4,0)),"")</f>
        <v>0.33333333333333331</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6.6512345679012345E-3</v>
      </c>
      <c r="AF6">
        <f>IFERROR(INDEX(REPORT!$A$4:$BZ$100,MATCH($A6,REPORT!$A$4:$A$100,0),MATCH(AF$1,REPORT!$A$4:$BZ$4,0)),"")</f>
        <v>5.5</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7.586805555555555E-3</v>
      </c>
    </row>
    <row r="7" spans="1:37" x14ac:dyDescent="0.2">
      <c r="A7" t="str">
        <f>IF(LEN(REPORT!A10)&gt;2,REPORT!A10,"")</f>
        <v>ENGIE</v>
      </c>
      <c r="B7">
        <f>IFERROR(INDEX(REPORT!$A$2:$BZ$100,MATCH($A7,REPORT!$A$2:$A$100,0),MATCH(B$1,REPORT!$A$2:$BZ$2,0)),"")</f>
        <v>0.73145833333333332</v>
      </c>
      <c r="C7">
        <f>IFERROR(INDEX(REPORT!$A$2:$BZ$100,MATCH($A7,REPORT!$A$2:$A$100,0),MATCH(C$1,REPORT!$A$2:$BZ$2,0)),"")</f>
        <v>0.64166666666666672</v>
      </c>
      <c r="D7">
        <f>IFERROR(INDEX(REPORT!$A$4:$BZ$100,MATCH($A7,REPORT!$A$4:$A$100,0),MATCH(D$1,REPORT!$A$4:$BZ$4,0)),"")</f>
        <v>0.58333333333333326</v>
      </c>
      <c r="E7">
        <f>IFERROR(INDEX(REPORT!$A$4:$BZ$100,MATCH($A7,REPORT!$A$4:$A$100,0),MATCH(E$1,REPORT!$A$4:$BZ$4,0)),"")</f>
        <v>1</v>
      </c>
      <c r="F7">
        <f>IFERROR(INDEX(REPORT!$A$4:$BZ$100,MATCH($A7,REPORT!$A$4:$A$100,0),MATCH(F$1,REPORT!$A$4:$BZ$4,0)),"")</f>
        <v>0.5</v>
      </c>
      <c r="G7">
        <f>IFERROR(INDEX(REPORT!$A$4:$BZ$100,MATCH($A7,REPORT!$A$4:$A$100,0),MATCH(G$1,REPORT!$A$4:$BZ$4,0)),"")</f>
        <v>0.66666666666666663</v>
      </c>
      <c r="H7">
        <f>IFERROR(INDEX(REPORT!$A$4:$BZ$100,MATCH($A7,REPORT!$A$4:$A$100,0),MATCH(H$1,REPORT!$A$4:$BZ$4,0)),"")</f>
        <v>0.16666666666666666</v>
      </c>
      <c r="I7">
        <f>IFERROR(INDEX(REPORT!$A$4:$BZ$100,MATCH($A7,REPORT!$A$4:$A$100,0),MATCH(I$1,REPORT!$A$4:$BZ$4,0)),"")</f>
        <v>0.66666666666666663</v>
      </c>
      <c r="J7">
        <f>IFERROR(INDEX(REPORT!$A$4:$BZ$100,MATCH($A7,REPORT!$A$4:$A$100,0),MATCH(J$1,REPORT!$A$4:$BZ$4,0)),"")</f>
        <v>0.33333333333333331</v>
      </c>
      <c r="K7">
        <f>IFERROR(INDEX(REPORT!$A$4:$BZ$100,MATCH($A7,REPORT!$A$4:$A$100,0),MATCH(K$1,REPORT!$A$4:$BZ$4,0)),"")</f>
        <v>1</v>
      </c>
      <c r="L7">
        <f>IFERROR(INDEX(REPORT!$A$4:$BZ$100,MATCH($A7,REPORT!$A$4:$A$100,0),MATCH(L$1,REPORT!$A$4:$BZ$4,0)),"")</f>
        <v>0.66666666666666663</v>
      </c>
      <c r="M7">
        <f>IFERROR(INDEX(REPORT!$A$4:$BZ$100,MATCH($A7,REPORT!$A$4:$A$100,0),MATCH(M$1,REPORT!$A$4:$BZ$4,0)),"")</f>
        <v>0.66666666666666663</v>
      </c>
      <c r="N7">
        <f>IFERROR(INDEX(REPORT!$A$4:$BZ$100,MATCH($A7,REPORT!$A$4:$A$100,0),MATCH(N$1,REPORT!$A$4:$BZ$4,0)),"")</f>
        <v>0.66666666666666663</v>
      </c>
      <c r="O7">
        <f>IFERROR(INDEX(REPORT!$A$4:$BZ$100,MATCH($A7,REPORT!$A$4:$A$100,0),MATCH(O$1,REPORT!$A$4:$BZ$4,0)),"")</f>
        <v>0.16666666666666666</v>
      </c>
      <c r="P7">
        <f>IFERROR(INDEX(REPORT!$A$4:$BZ$100,MATCH($A7,REPORT!$A$4:$A$100,0),MATCH(P$1,REPORT!$A$4:$BZ$4,0)),"")</f>
        <v>0.83333333333333337</v>
      </c>
      <c r="Q7">
        <f>IFERROR(INDEX(REPORT!$A$4:$BZ$100,MATCH($A7,REPORT!$A$4:$A$100,0),MATCH(Q$1,REPORT!$A$4:$BZ$4,0)),"")</f>
        <v>1</v>
      </c>
      <c r="R7">
        <f>IFERROR(INDEX(REPORT!$A$4:$BZ$100,MATCH($A7,REPORT!$A$4:$A$100,0),MATCH(R$1,REPORT!$A$4:$BZ$4,0)),"")</f>
        <v>0.44444444444444448</v>
      </c>
      <c r="S7">
        <f>IFERROR(INDEX(REPORT!$A$4:$BZ$100,MATCH($A7,REPORT!$A$4:$A$100,0),MATCH(S$1,REPORT!$A$4:$BZ$4,0)),"")</f>
        <v>0.5</v>
      </c>
      <c r="T7">
        <f>IFERROR(INDEX(REPORT!$A$4:$BZ$100,MATCH($A7,REPORT!$A$4:$A$100,0),MATCH(T$1,REPORT!$A$4:$BZ$4,0)),"")</f>
        <v>0</v>
      </c>
      <c r="U7">
        <f>IFERROR(INDEX(REPORT!$A$4:$BZ$100,MATCH($A7,REPORT!$A$4:$A$100,0),MATCH(U$1,REPORT!$A$4:$BZ$4,0)),"")</f>
        <v>0.83333333333333337</v>
      </c>
      <c r="V7">
        <f>IFERROR(INDEX(REPORT!$A$4:$BZ$100,MATCH($A7,REPORT!$A$4:$A$100,0),MATCH(V$1,REPORT!$A$4:$BZ$4,0)),"")</f>
        <v>0.79166666666666663</v>
      </c>
      <c r="W7">
        <f>IFERROR(INDEX(REPORT!$A$4:$BZ$100,MATCH($A7,REPORT!$A$4:$A$100,0),MATCH(W$1,REPORT!$A$4:$BZ$4,0)),"")</f>
        <v>1</v>
      </c>
      <c r="X7">
        <f>IFERROR(INDEX(REPORT!$A$4:$BZ$100,MATCH($A7,REPORT!$A$4:$A$100,0),MATCH(X$1,REPORT!$A$4:$BZ$4,0)),"")</f>
        <v>1</v>
      </c>
      <c r="Y7">
        <f>IFERROR(INDEX(REPORT!$A$4:$BZ$100,MATCH($A7,REPORT!$A$4:$A$100,0),MATCH(Y$1,REPORT!$A$4:$BZ$4,0)),"")</f>
        <v>0.5</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8.7789351851851865E-3</v>
      </c>
      <c r="AF7">
        <f>IFERROR(INDEX(REPORT!$A$4:$BZ$100,MATCH($A7,REPORT!$A$4:$A$100,0),MATCH(AF$1,REPORT!$A$4:$BZ$4,0)),"")</f>
        <v>6</v>
      </c>
      <c r="AG7">
        <f>IFERROR(INDEX(REPORT!$A$4:$BZ$100,MATCH($A7,REPORT!$A$4:$A$100,0),MATCH(AG$1,REPORT!$A$4:$BZ$4,0)),"")</f>
        <v>1</v>
      </c>
      <c r="AH7">
        <f>IFERROR(INDEX(REPORT!$A$4:$BZ$100,MATCH($A7,REPORT!$A$4:$A$100,0),MATCH(AH$1,REPORT!$A$4:$BZ$4,0)),"")</f>
        <v>1</v>
      </c>
      <c r="AI7">
        <f>IFERROR(INDEX(REPORT!$A$4:$BZ$100,MATCH($A7,REPORT!$A$4:$A$100,0),MATCH(AI$1,REPORT!$A$4:$BZ$4,0)),"")</f>
        <v>0.83333333333333337</v>
      </c>
      <c r="AJ7">
        <f>IFERROR(INDEX(REPORT!$A$4:$BZ$100,MATCH($A7,REPORT!$A$4:$A$100,0),MATCH(AJ$1,REPORT!$A$4:$BZ$4,0)),"")</f>
        <v>0</v>
      </c>
      <c r="AK7">
        <f>IFERROR(INDEX(REPORT!$A$4:$BZ$100,MATCH($A7,REPORT!$A$4:$A$100,0),MATCH(AK$1,REPORT!$A$4:$BZ$4,0)),"")</f>
        <v>9.3692129629629646E-3</v>
      </c>
    </row>
    <row r="8" spans="1:37" x14ac:dyDescent="0.2">
      <c r="A8" t="str">
        <f>IF(LEN(REPORT!A11)&gt;2,REPORT!A11,"")</f>
        <v>MOMENTUM</v>
      </c>
      <c r="B8">
        <f>IFERROR(INDEX(REPORT!$A$2:$BZ$100,MATCH($A8,REPORT!$A$2:$A$100,0),MATCH(B$1,REPORT!$A$2:$BZ$2,0)),"")</f>
        <v>0.56201488095238095</v>
      </c>
      <c r="C8">
        <f>IFERROR(INDEX(REPORT!$A$2:$BZ$100,MATCH($A8,REPORT!$A$2:$A$100,0),MATCH(C$1,REPORT!$A$2:$BZ$2,0)),"")</f>
        <v>0.53333333333333333</v>
      </c>
      <c r="D8">
        <f>IFERROR(INDEX(REPORT!$A$4:$BZ$100,MATCH($A8,REPORT!$A$4:$A$100,0),MATCH(D$1,REPORT!$A$4:$BZ$4,0)),"")</f>
        <v>0.33333333333333337</v>
      </c>
      <c r="E8">
        <f>IFERROR(INDEX(REPORT!$A$4:$BZ$100,MATCH($A8,REPORT!$A$4:$A$100,0),MATCH(E$1,REPORT!$A$4:$BZ$4,0)),"")</f>
        <v>0.83333333333333337</v>
      </c>
      <c r="F8">
        <f>IFERROR(INDEX(REPORT!$A$4:$BZ$100,MATCH($A8,REPORT!$A$4:$A$100,0),MATCH(F$1,REPORT!$A$4:$BZ$4,0)),"")</f>
        <v>0.33333333333333331</v>
      </c>
      <c r="G8">
        <f>IFERROR(INDEX(REPORT!$A$4:$BZ$100,MATCH($A8,REPORT!$A$4:$A$100,0),MATCH(G$1,REPORT!$A$4:$BZ$4,0)),"")</f>
        <v>0.16666666666666666</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0.66666666666666674</v>
      </c>
      <c r="N8">
        <f>IFERROR(INDEX(REPORT!$A$4:$BZ$100,MATCH($A8,REPORT!$A$4:$A$100,0),MATCH(N$1,REPORT!$A$4:$BZ$4,0)),"")</f>
        <v>0.83333333333333337</v>
      </c>
      <c r="O8">
        <f>IFERROR(INDEX(REPORT!$A$4:$BZ$100,MATCH($A8,REPORT!$A$4:$A$100,0),MATCH(O$1,REPORT!$A$4:$BZ$4,0)),"")</f>
        <v>0</v>
      </c>
      <c r="P8">
        <f>IFERROR(INDEX(REPORT!$A$4:$BZ$100,MATCH($A8,REPORT!$A$4:$A$100,0),MATCH(P$1,REPORT!$A$4:$BZ$4,0)),"")</f>
        <v>0.83333333333333337</v>
      </c>
      <c r="Q8">
        <f>IFERROR(INDEX(REPORT!$A$4:$BZ$100,MATCH($A8,REPORT!$A$4:$A$100,0),MATCH(Q$1,REPORT!$A$4:$BZ$4,0)),"")</f>
        <v>1</v>
      </c>
      <c r="R8">
        <f>IFERROR(INDEX(REPORT!$A$4:$BZ$100,MATCH($A8,REPORT!$A$4:$A$100,0),MATCH(R$1,REPORT!$A$4:$BZ$4,0)),"")</f>
        <v>0.55555555555555547</v>
      </c>
      <c r="S8">
        <f>IFERROR(INDEX(REPORT!$A$4:$BZ$100,MATCH($A8,REPORT!$A$4:$A$100,0),MATCH(S$1,REPORT!$A$4:$BZ$4,0)),"")</f>
        <v>0.5</v>
      </c>
      <c r="T8">
        <f>IFERROR(INDEX(REPORT!$A$4:$BZ$100,MATCH($A8,REPORT!$A$4:$A$100,0),MATCH(T$1,REPORT!$A$4:$BZ$4,0)),"")</f>
        <v>0.33333333333333331</v>
      </c>
      <c r="U8">
        <f>IFERROR(INDEX(REPORT!$A$4:$BZ$100,MATCH($A8,REPORT!$A$4:$A$100,0),MATCH(U$1,REPORT!$A$4:$BZ$4,0)),"")</f>
        <v>0.83333333333333337</v>
      </c>
      <c r="V8">
        <f>IFERROR(INDEX(REPORT!$A$4:$BZ$100,MATCH($A8,REPORT!$A$4:$A$100,0),MATCH(V$1,REPORT!$A$4:$BZ$4,0)),"")</f>
        <v>0.75</v>
      </c>
      <c r="W8">
        <f>IFERROR(INDEX(REPORT!$A$4:$BZ$100,MATCH($A8,REPORT!$A$4:$A$100,0),MATCH(W$1,REPORT!$A$4:$BZ$4,0)),"")</f>
        <v>1</v>
      </c>
      <c r="X8">
        <f>IFERROR(INDEX(REPORT!$A$4:$BZ$100,MATCH($A8,REPORT!$A$4:$A$100,0),MATCH(X$1,REPORT!$A$4:$BZ$4,0)),"")</f>
        <v>1</v>
      </c>
      <c r="Y8">
        <f>IFERROR(INDEX(REPORT!$A$4:$BZ$100,MATCH($A8,REPORT!$A$4:$A$100,0),MATCH(Y$1,REPORT!$A$4:$BZ$4,0)),"")</f>
        <v>0.33333333333333331</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3.7384259259259259E-3</v>
      </c>
      <c r="AF8">
        <f>IFERROR(INDEX(REPORT!$A$4:$BZ$100,MATCH($A8,REPORT!$A$4:$A$100,0),MATCH(AF$1,REPORT!$A$4:$BZ$4,0)),"")</f>
        <v>5.333333333333333</v>
      </c>
      <c r="AG8">
        <f>IFERROR(INDEX(REPORT!$A$4:$BZ$100,MATCH($A8,REPORT!$A$4:$A$100,0),MATCH(AG$1,REPORT!$A$4:$BZ$4,0)),"")</f>
        <v>1</v>
      </c>
      <c r="AH8">
        <f>IFERROR(INDEX(REPORT!$A$4:$BZ$100,MATCH($A8,REPORT!$A$4:$A$100,0),MATCH(AH$1,REPORT!$A$4:$BZ$4,0)),"")</f>
        <v>1</v>
      </c>
      <c r="AI8">
        <f>IFERROR(INDEX(REPORT!$A$4:$BZ$100,MATCH($A8,REPORT!$A$4:$A$100,0),MATCH(AI$1,REPORT!$A$4:$BZ$4,0)),"")</f>
        <v>0.66666666666666663</v>
      </c>
      <c r="AJ8">
        <f>IFERROR(INDEX(REPORT!$A$4:$BZ$100,MATCH($A8,REPORT!$A$4:$A$100,0),MATCH(AJ$1,REPORT!$A$4:$BZ$4,0)),"")</f>
        <v>0</v>
      </c>
      <c r="AK8">
        <f>IFERROR(INDEX(REPORT!$A$4:$BZ$100,MATCH($A8,REPORT!$A$4:$A$100,0),MATCH(AK$1,REPORT!$A$4:$BZ$4,0)),"")</f>
        <v>6.5682870370370374E-3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0.61332312925170063</v>
      </c>
      <c r="C32">
        <f>IFERROR(INDEX(REPORT!$A$2:$BZ$100,MATCH($A32,REPORT!$A$2:$A$100,0),MATCH(C$1,REPORT!$A$2:$BZ$2,0)),"")</f>
        <v>0.57827380952380947</v>
      </c>
      <c r="D32">
        <f>IFERROR(INDEX(REPORT!$A$4:$BZ$100,MATCH($A32,REPORT!$A$4:$A$100,0),MATCH(D$1,REPORT!$A$4:$BZ$4,0)),"")</f>
        <v>0.50595238095238093</v>
      </c>
      <c r="E32">
        <f>IFERROR(INDEX(REPORT!$A$4:$BZ$100,MATCH($A32,REPORT!$A$4:$A$100,0),MATCH(E$1,REPORT!$A$4:$BZ$4,0)),"")</f>
        <v>0.95238095238095233</v>
      </c>
      <c r="F32">
        <f>IFERROR(INDEX(REPORT!$A$4:$BZ$100,MATCH($A32,REPORT!$A$4:$A$100,0),MATCH(F$1,REPORT!$A$4:$BZ$4,0)),"")</f>
        <v>0.47619047619047622</v>
      </c>
      <c r="G32">
        <f>IFERROR(INDEX(REPORT!$A$4:$BZ$100,MATCH($A32,REPORT!$A$4:$A$100,0),MATCH(G$1,REPORT!$A$4:$BZ$4,0)),"")</f>
        <v>0.38095238095238093</v>
      </c>
      <c r="H32">
        <f>IFERROR(INDEX(REPORT!$A$4:$BZ$100,MATCH($A32,REPORT!$A$4:$A$100,0),MATCH(H$1,REPORT!$A$4:$BZ$4,0)),"")</f>
        <v>0.21428571428571433</v>
      </c>
      <c r="I32">
        <f>IFERROR(INDEX(REPORT!$A$4:$BZ$100,MATCH($A32,REPORT!$A$4:$A$100,0),MATCH(I$1,REPORT!$A$4:$BZ$4,0)),"")</f>
        <v>0.41269841269841268</v>
      </c>
      <c r="J32">
        <f>IFERROR(INDEX(REPORT!$A$4:$BZ$100,MATCH($A32,REPORT!$A$4:$A$100,0),MATCH(J$1,REPORT!$A$4:$BZ$4,0)),"")</f>
        <v>4.7619047619047616E-2</v>
      </c>
      <c r="K32">
        <f>IFERROR(INDEX(REPORT!$A$4:$BZ$100,MATCH($A32,REPORT!$A$4:$A$100,0),MATCH(K$1,REPORT!$A$4:$BZ$4,0)),"")</f>
        <v>1</v>
      </c>
      <c r="L32">
        <f>IFERROR(INDEX(REPORT!$A$4:$BZ$100,MATCH($A32,REPORT!$A$4:$A$100,0),MATCH(L$1,REPORT!$A$4:$BZ$4,0)),"")</f>
        <v>0.19047619047619047</v>
      </c>
      <c r="M32">
        <f>IFERROR(INDEX(REPORT!$A$4:$BZ$100,MATCH($A32,REPORT!$A$4:$A$100,0),MATCH(M$1,REPORT!$A$4:$BZ$4,0)),"")</f>
        <v>0.70238095238095244</v>
      </c>
      <c r="N32">
        <f>IFERROR(INDEX(REPORT!$A$4:$BZ$100,MATCH($A32,REPORT!$A$4:$A$100,0),MATCH(N$1,REPORT!$A$4:$BZ$4,0)),"")</f>
        <v>0.73333333333333328</v>
      </c>
      <c r="O32">
        <f>IFERROR(INDEX(REPORT!$A$4:$BZ$100,MATCH($A32,REPORT!$A$4:$A$100,0),MATCH(O$1,REPORT!$A$4:$BZ$4,0)),"")</f>
        <v>0.17142857142857143</v>
      </c>
      <c r="P32">
        <f>IFERROR(INDEX(REPORT!$A$4:$BZ$100,MATCH($A32,REPORT!$A$4:$A$100,0),MATCH(P$1,REPORT!$A$4:$BZ$4,0)),"")</f>
        <v>0.90476190476190477</v>
      </c>
      <c r="Q32">
        <f>IFERROR(INDEX(REPORT!$A$4:$BZ$100,MATCH($A32,REPORT!$A$4:$A$100,0),MATCH(Q$1,REPORT!$A$4:$BZ$4,0)),"")</f>
        <v>1</v>
      </c>
      <c r="R32">
        <f>IFERROR(INDEX(REPORT!$A$4:$BZ$100,MATCH($A32,REPORT!$A$4:$A$100,0),MATCH(R$1,REPORT!$A$4:$BZ$4,0)),"")</f>
        <v>0.58095238095238089</v>
      </c>
      <c r="S32">
        <f>IFERROR(INDEX(REPORT!$A$4:$BZ$100,MATCH($A32,REPORT!$A$4:$A$100,0),MATCH(S$1,REPORT!$A$4:$BZ$4,0)),"")</f>
        <v>0.48571428571428571</v>
      </c>
      <c r="T32">
        <f>IFERROR(INDEX(REPORT!$A$4:$BZ$100,MATCH($A32,REPORT!$A$4:$A$100,0),MATCH(T$1,REPORT!$A$4:$BZ$4,0)),"")</f>
        <v>0.4333333333333334</v>
      </c>
      <c r="U32">
        <f>IFERROR(INDEX(REPORT!$A$4:$BZ$100,MATCH($A32,REPORT!$A$4:$A$100,0),MATCH(U$1,REPORT!$A$4:$BZ$4,0)),"")</f>
        <v>0.82380952380952366</v>
      </c>
      <c r="V32">
        <f>IFERROR(INDEX(REPORT!$A$4:$BZ$100,MATCH($A32,REPORT!$A$4:$A$100,0),MATCH(V$1,REPORT!$A$4:$BZ$4,0)),"")</f>
        <v>0.76785714285714302</v>
      </c>
      <c r="W32">
        <f>IFERROR(INDEX(REPORT!$A$4:$BZ$100,MATCH($A32,REPORT!$A$4:$A$100,0),MATCH(W$1,REPORT!$A$4:$BZ$4,0)),"")</f>
        <v>0.9285714285714286</v>
      </c>
      <c r="X32">
        <f>IFERROR(INDEX(REPORT!$A$4:$BZ$100,MATCH($A32,REPORT!$A$4:$A$100,0),MATCH(X$1,REPORT!$A$4:$BZ$4,0)),"")</f>
        <v>0.80952380952380953</v>
      </c>
      <c r="Y32">
        <f>IFERROR(INDEX(REPORT!$A$4:$BZ$100,MATCH($A32,REPORT!$A$4:$A$100,0),MATCH(Y$1,REPORT!$A$4:$BZ$4,0)),"")</f>
        <v>0.61904761904761896</v>
      </c>
      <c r="Z32">
        <f>IFERROR(INDEX(REPORT!$A$4:$BZ$100,MATCH($A32,REPORT!$A$4:$A$100,0),MATCH(Z$1,REPORT!$A$4:$BZ$4,0)),"")</f>
        <v>0.71428571428571441</v>
      </c>
      <c r="AA32">
        <f>IFERROR(INDEX(REPORT!$A$4:$BZ$100,MATCH($A32,REPORT!$A$4:$A$100,0),MATCH(AA$1,REPORT!$A$4:$BZ$4,0)),"")</f>
        <v>7.1428571428571425E-2</v>
      </c>
      <c r="AB32">
        <f>IFERROR(INDEX(REPORT!$A$4:$BZ$100,MATCH($A32,REPORT!$A$4:$A$100,0),MATCH(AB$1,REPORT!$A$4:$BZ$4,0)),"")</f>
        <v>4.7619047619047616E-2</v>
      </c>
      <c r="AC32">
        <f>IFERROR(INDEX(REPORT!$A$4:$BZ$100,MATCH($A32,REPORT!$A$4:$A$100,0),MATCH(AC$1,REPORT!$A$4:$BZ$4,0)),"")</f>
        <v>2.3809523809523808E-2</v>
      </c>
      <c r="AD32">
        <f>IFERROR(INDEX(REPORT!$A$4:$BZ$100,MATCH($A32,REPORT!$A$4:$A$100,0),MATCH(AD$1,REPORT!$A$4:$BZ$4,0)),"")</f>
        <v>1</v>
      </c>
      <c r="AE32">
        <f>IFERROR(INDEX(REPORT!$A$4:$BZ$100,MATCH($A32,REPORT!$A$4:$A$100,0),MATCH(AE$1,REPORT!$A$4:$BZ$4,0)),"")</f>
        <v>5.2943121693121691E-3</v>
      </c>
      <c r="AF32">
        <f>IFERROR(INDEX(REPORT!$A$4:$BZ$100,MATCH($A32,REPORT!$A$4:$A$100,0),MATCH(AF$1,REPORT!$A$4:$BZ$4,0)),"")</f>
        <v>5.5714285714285721</v>
      </c>
      <c r="AG32">
        <f>IFERROR(INDEX(REPORT!$A$4:$BZ$100,MATCH($A32,REPORT!$A$4:$A$100,0),MATCH(AG$1,REPORT!$A$4:$BZ$4,0)),"")</f>
        <v>0.6428571428571429</v>
      </c>
      <c r="AH32">
        <f>IFERROR(INDEX(REPORT!$A$4:$BZ$100,MATCH($A32,REPORT!$A$4:$A$100,0),MATCH(AH$1,REPORT!$A$4:$BZ$4,0)),"")</f>
        <v>0.90476190476190477</v>
      </c>
      <c r="AI32">
        <f>IFERROR(INDEX(REPORT!$A$4:$BZ$100,MATCH($A32,REPORT!$A$4:$A$100,0),MATCH(AI$1,REPORT!$A$4:$BZ$4,0)),"")</f>
        <v>0.7142857142857143</v>
      </c>
      <c r="AJ32">
        <f>IFERROR(INDEX(REPORT!$A$4:$BZ$100,MATCH($A32,REPORT!$A$4:$A$100,0),MATCH(AJ$1,REPORT!$A$4:$BZ$4,0)),"")</f>
        <v>4.7619047619047616E-2</v>
      </c>
      <c r="AK32">
        <f>IFERROR(INDEX(REPORT!$A$4:$BZ$100,MATCH($A32,REPORT!$A$4:$A$100,0),MATCH(AK$1,REPORT!$A$4:$BZ$4,0)),"")</f>
        <v>7.2139550264550267E-3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zoomScaleNormal="100" workbookViewId="0">
      <selection activeCell="F38" sqref="F38"/>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96</v>
      </c>
      <c r="K1" s="189" t="s">
        <v>97</v>
      </c>
      <c r="L1" s="189" t="s">
        <v>98</v>
      </c>
      <c r="M1" s="189" t="s">
        <v>99</v>
      </c>
      <c r="N1" s="189" t="s">
        <v>100</v>
      </c>
      <c r="O1" s="189" t="s">
        <v>101</v>
      </c>
      <c r="P1" s="189" t="s">
        <v>102</v>
      </c>
      <c r="Q1" s="189" t="s">
        <v>103</v>
      </c>
      <c r="R1" s="189" t="s">
        <v>104</v>
      </c>
      <c r="S1" s="189" t="s">
        <v>105</v>
      </c>
      <c r="T1" s="189" t="s">
        <v>106</v>
      </c>
      <c r="U1" s="189" t="s">
        <v>107</v>
      </c>
      <c r="V1" s="189" t="s">
        <v>108</v>
      </c>
      <c r="W1" s="189" t="s">
        <v>109</v>
      </c>
      <c r="X1" s="189" t="s">
        <v>110</v>
      </c>
      <c r="Y1" s="189" t="s">
        <v>111</v>
      </c>
      <c r="Z1" s="189" t="s">
        <v>112</v>
      </c>
      <c r="AA1" s="189" t="s">
        <v>113</v>
      </c>
      <c r="AB1" s="189" t="s">
        <v>114</v>
      </c>
      <c r="AC1" s="189" t="s">
        <v>115</v>
      </c>
      <c r="AD1" s="189" t="s">
        <v>116</v>
      </c>
      <c r="AE1" s="189" t="s">
        <v>117</v>
      </c>
      <c r="AF1" s="189" t="s">
        <v>118</v>
      </c>
      <c r="AG1" s="189" t="s">
        <v>119</v>
      </c>
    </row>
    <row r="2" spans="1:37" ht="27" thickBot="1" x14ac:dyDescent="0.25">
      <c r="A2" s="190" t="str">
        <f>REPORT!A2</f>
        <v>ENERGY</v>
      </c>
      <c r="B2" s="191" t="s">
        <v>60</v>
      </c>
      <c r="C2" s="35">
        <f>SUM(D2:L2)</f>
        <v>42</v>
      </c>
      <c r="D2" s="192">
        <f>COUNTA(AGL!$D2:$I2)</f>
        <v>6</v>
      </c>
      <c r="E2" s="192">
        <f>COUNTA(ALINTA!D2:I2)</f>
        <v>6</v>
      </c>
      <c r="F2" s="192">
        <f>COUNTA('ENERGY AUSTRALIA'!D2:I2)</f>
        <v>6</v>
      </c>
      <c r="G2" s="192">
        <f>COUNTA(ORIGIN!D2:I2)</f>
        <v>6</v>
      </c>
      <c r="H2" s="192">
        <f>COUNTA('RED ENERGY'!D2:I2)</f>
        <v>6</v>
      </c>
      <c r="I2" s="192">
        <f>COUNTA(ENGIE!D2:I2)</f>
        <v>6</v>
      </c>
      <c r="J2" s="192">
        <f>COUNTA(MOMENTUM!D2:I2)</f>
        <v>6</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0.61332312925170063</v>
      </c>
      <c r="C3" s="195"/>
      <c r="D3" s="196">
        <f t="shared" ref="D3:I3" si="0">IF(D51="-","-",D48)</f>
        <v>0.55143750000000002</v>
      </c>
      <c r="E3" s="196">
        <f t="shared" si="0"/>
        <v>0.65806448412698404</v>
      </c>
      <c r="F3" s="196">
        <f t="shared" si="0"/>
        <v>0.65567361111111122</v>
      </c>
      <c r="G3" s="196">
        <f t="shared" si="0"/>
        <v>0.48589781746031746</v>
      </c>
      <c r="H3" s="196">
        <f t="shared" si="0"/>
        <v>0.64871527777777782</v>
      </c>
      <c r="I3" s="196">
        <f t="shared" si="0"/>
        <v>0.73145833333333332</v>
      </c>
      <c r="J3" s="196">
        <f>IF(J51="-","-",J48)</f>
        <v>0.56201488095238095</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IF(C2=0,"-",AVERAGE(D4:L4))</f>
        <v>0.57827380952380947</v>
      </c>
      <c r="C4" s="200" t="s">
        <v>1</v>
      </c>
      <c r="D4" s="201">
        <f>IF(D2=0, "-", IF(AGL!$B$4="-", "-", AGL!$B$4))</f>
        <v>0.56458333333333344</v>
      </c>
      <c r="E4" s="201">
        <f>IF(E2=0, "-", IF(ALINTA!$B$4="-", "-", ALINTA!$B$4))</f>
        <v>0.66597222222222208</v>
      </c>
      <c r="F4" s="201">
        <f>IF(F2=0, "-", IF('ENERGY AUSTRALIA'!$B$4="-", "-", 'ENERGY AUSTRALIA'!$B$4))</f>
        <v>0.69444444444444453</v>
      </c>
      <c r="G4" s="201">
        <f>IF(G2=0, "-", IF(ORIGIN!$B$4="-", "-", ORIGIN!$B$4))</f>
        <v>0.41180555555555559</v>
      </c>
      <c r="H4" s="201">
        <f>IF(H2=0, "-", IF('RED ENERGY'!$B$4="-", "-", 'RED ENERGY'!$B$4))</f>
        <v>0.53611111111111109</v>
      </c>
      <c r="I4" s="201">
        <f>IF(I2=0, "-", IF(ENGIE!$B$4="-", "-", ENGIE!$B$4))</f>
        <v>0.64166666666666672</v>
      </c>
      <c r="J4" s="201">
        <f>IF(J2=0, "-", IF(MOMENTUM!$B$4="-", "-", MOMENTUM!$B$4))</f>
        <v>0.53333333333333333</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 t="shared" ref="B5:B10" si="1">IF($C$2=0,"-",AVERAGE(D5:L5))</f>
        <v>0.59414682539682551</v>
      </c>
      <c r="C5" s="204" t="s">
        <v>46</v>
      </c>
      <c r="D5" s="205">
        <f>AGL!$B5</f>
        <v>0.56458333333333344</v>
      </c>
      <c r="E5" s="205">
        <f>ALINTA!$B5</f>
        <v>0.66597222222222208</v>
      </c>
      <c r="F5" s="205">
        <f>'ENERGY AUSTRALIA'!$B5</f>
        <v>0.69444444444444453</v>
      </c>
      <c r="G5" s="205">
        <f>ORIGIN!$B5</f>
        <v>0.45625000000000004</v>
      </c>
      <c r="H5" s="205">
        <f>'RED ENERGY'!$B5</f>
        <v>0.60277777777777786</v>
      </c>
      <c r="I5" s="205">
        <f>ENGIE!$B5</f>
        <v>0.64166666666666672</v>
      </c>
      <c r="J5" s="205">
        <f>MOMENTUM!$B5</f>
        <v>0.53333333333333333</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 t="shared" si="1"/>
        <v>0.50595238095238093</v>
      </c>
      <c r="C6" s="1">
        <f>AJ24</f>
        <v>0.2</v>
      </c>
      <c r="D6" s="206">
        <f>IF(D$39=0%,"-",IF(D$2=0,"-",AGL!$B6))</f>
        <v>0.45833333333333331</v>
      </c>
      <c r="E6" s="206">
        <f>IF(E$39=0%,"-",IF(E$2=0,"-",ALINTA!$B6))</f>
        <v>0.625</v>
      </c>
      <c r="F6" s="206">
        <f>IF(F$39=0%,"-",IF(F$2=0,"-",'ENERGY AUSTRALIA'!$B6))</f>
        <v>0.83333333333333337</v>
      </c>
      <c r="G6" s="206">
        <f>IF(G$39=0%,"-",IF(G$2=0,"-",ORIGIN!$B6))</f>
        <v>0.33333333333333337</v>
      </c>
      <c r="H6" s="206">
        <f>IF(H$39=0%,"-",IF(H$2=0,"-",'RED ENERGY'!$B6))</f>
        <v>0.375</v>
      </c>
      <c r="I6" s="206">
        <f>IF(I$39=0%,"-",IF(I$2=0,"-",ENGIE!$B6))</f>
        <v>0.58333333333333326</v>
      </c>
      <c r="J6" s="206">
        <f>IF(J$39=0%,"-",IF(J$2=0,"-",MOMENTUM!$B6))</f>
        <v>0.33333333333333337</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0.95238095238095233</v>
      </c>
      <c r="C7" s="207" t="s">
        <v>1</v>
      </c>
      <c r="D7" s="208">
        <f>IF(D$39=0%,"-",IF(D$2=0,"-",AGL!$B7))</f>
        <v>1</v>
      </c>
      <c r="E7" s="208">
        <f>IF(E$39=0%,"-",IF(E$2=0,"-",ALINTA!$B7))</f>
        <v>1</v>
      </c>
      <c r="F7" s="208">
        <f>IF(F$39=0%,"-",IF(F$2=0,"-",'ENERGY AUSTRALIA'!$B7))</f>
        <v>1</v>
      </c>
      <c r="G7" s="208">
        <f>IF(G$39=0%,"-",IF(G$2=0,"-",ORIGIN!$B7))</f>
        <v>1</v>
      </c>
      <c r="H7" s="208">
        <f>IF(H$39=0%,"-",IF(H$2=0,"-",'RED ENERGY'!$B7))</f>
        <v>0.83333333333333337</v>
      </c>
      <c r="I7" s="208">
        <f>IF(I$39=0%,"-",IF(I$2=0,"-",ENGIE!$B7))</f>
        <v>1</v>
      </c>
      <c r="J7" s="208">
        <f>IF(J$39=0%,"-",IF(J$2=0,"-",MOMENTUM!$B7))</f>
        <v>0.83333333333333337</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0.47619047619047622</v>
      </c>
      <c r="C8" s="207" t="s">
        <v>1</v>
      </c>
      <c r="D8" s="209">
        <f>IF(D$39=0%,"-",IF(D$2=0,"-",AGL!$B8))</f>
        <v>0.33333333333333331</v>
      </c>
      <c r="E8" s="209">
        <f>IF(E$39=0%,"-",IF(E$2=0,"-",ALINTA!$B8))</f>
        <v>0.83333333333333337</v>
      </c>
      <c r="F8" s="209">
        <f>IF(F$39=0%,"-",IF(F$2=0,"-",'ENERGY AUSTRALIA'!$B8))</f>
        <v>1</v>
      </c>
      <c r="G8" s="209">
        <f>IF(G$39=0%,"-",IF(G$2=0,"-",ORIGIN!$B8))</f>
        <v>0.16666666666666666</v>
      </c>
      <c r="H8" s="209">
        <f>IF(H$39=0%,"-",IF(H$2=0,"-",'RED ENERGY'!$B8))</f>
        <v>0.16666666666666666</v>
      </c>
      <c r="I8" s="209">
        <f>IF(I$39=0%,"-",IF(I$2=0,"-",ENGIE!$B8))</f>
        <v>0.5</v>
      </c>
      <c r="J8" s="209">
        <f>IF(J$39=0%,"-",IF(J$2=0,"-",MOMENTUM!$B8))</f>
        <v>0.33333333333333331</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 t="shared" si="1"/>
        <v>0.38095238095238093</v>
      </c>
      <c r="C9" s="207" t="s">
        <v>1</v>
      </c>
      <c r="D9" s="208">
        <f>IF(D$39=0%,"-",IF(D$2=0,"-",AGL!$B9))</f>
        <v>0.5</v>
      </c>
      <c r="E9" s="208">
        <f>IF(E$39=0%,"-",IF(E$2=0,"-",ALINTA!$B9))</f>
        <v>0.16666666666666666</v>
      </c>
      <c r="F9" s="208">
        <f>IF(F$39=0%,"-",IF(F$2=0,"-",'ENERGY AUSTRALIA'!$B9))</f>
        <v>0.5</v>
      </c>
      <c r="G9" s="208">
        <f>IF(G$39=0%,"-",IF(G$2=0,"-",ORIGIN!$B9))</f>
        <v>0.16666666666666666</v>
      </c>
      <c r="H9" s="208">
        <f>IF(H$39=0%,"-",IF(H$2=0,"-",'RED ENERGY'!$B9))</f>
        <v>0.5</v>
      </c>
      <c r="I9" s="208">
        <f>IF(I$39=0%,"-",IF(I$2=0,"-",ENGIE!$B9))</f>
        <v>0.66666666666666663</v>
      </c>
      <c r="J9" s="208">
        <f>IF(J$39=0%,"-",IF(J$2=0,"-",MOMENTUM!$B9))</f>
        <v>0.16666666666666666</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0.21428571428571433</v>
      </c>
      <c r="C10" s="207" t="s">
        <v>1</v>
      </c>
      <c r="D10" s="209">
        <f>IF(D$39=0%,"-",IF(D$2=0,"-",AGL!$B10))</f>
        <v>0</v>
      </c>
      <c r="E10" s="209">
        <f>IF(E$39=0%,"-",IF(E$2=0,"-",ALINTA!$B10))</f>
        <v>0.5</v>
      </c>
      <c r="F10" s="209">
        <f>IF(F$39=0%,"-",IF(F$2=0,"-",'ENERGY AUSTRALIA'!$B10))</f>
        <v>0.83333333333333337</v>
      </c>
      <c r="G10" s="209">
        <f>IF(G$39=0%,"-",IF(G$2=0,"-",ORIGIN!$B10))</f>
        <v>0</v>
      </c>
      <c r="H10" s="209">
        <f>IF(H$39=0%,"-",IF(H$2=0,"-",'RED ENERGY'!$B10))</f>
        <v>0</v>
      </c>
      <c r="I10" s="209">
        <f>IF(I$39=0%,"-",IF(I$2=0,"-",ENGIE!$B10))</f>
        <v>0.16666666666666666</v>
      </c>
      <c r="J10" s="209">
        <f>IF(J$39=0%,"-",IF(J$2=0,"-",MOMENTUM!$B10))</f>
        <v>0</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IF($C$2=0,"-",AVERAGE(D12:L12))</f>
        <v>0.41269841269841268</v>
      </c>
      <c r="C12" s="1">
        <f>AJ25</f>
        <v>0.2</v>
      </c>
      <c r="D12" s="211">
        <f>IF(D$39=0%,"-",IF(D$2=0,"-",AGL!$B12))</f>
        <v>0.33333333333333331</v>
      </c>
      <c r="E12" s="211">
        <f>IF(E$39=0%,"-",IF(E$2=0,"-",ALINTA!$B12))</f>
        <v>0.44444444444444442</v>
      </c>
      <c r="F12" s="211">
        <f>IF(F$39=0%,"-",IF(F$2=0,"-",'ENERGY AUSTRALIA'!$B12))</f>
        <v>0.3888888888888889</v>
      </c>
      <c r="G12" s="211">
        <f>IF(G$39=0%,"-",IF(G$2=0,"-",ORIGIN!$B12))</f>
        <v>0.33333333333333331</v>
      </c>
      <c r="H12" s="211">
        <f>IF(H$39=0%,"-",IF(H$2=0,"-",'RED ENERGY'!$B12))</f>
        <v>0.3888888888888889</v>
      </c>
      <c r="I12" s="211">
        <f>IF(I$39=0%,"-",IF(I$2=0,"-",ENGIE!$B12))</f>
        <v>0.66666666666666663</v>
      </c>
      <c r="J12" s="211">
        <f>IF(J$39=0%,"-",IF(J$2=0,"-",MOMENTUM!$B12))</f>
        <v>0.33333333333333331</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4.7619047619047616E-2</v>
      </c>
      <c r="C13" s="207" t="s">
        <v>1</v>
      </c>
      <c r="D13" s="208">
        <f>IF(D$39=0%,"-",IF(D$2=0,"-",AGL!$B13))</f>
        <v>0</v>
      </c>
      <c r="E13" s="208">
        <f>IF(E$39=0%,"-",IF(E$2=0,"-",ALINTA!$B13))</f>
        <v>0</v>
      </c>
      <c r="F13" s="208">
        <f>IF(F$39=0%,"-",IF(F$2=0,"-",'ENERGY AUSTRALIA'!$B13))</f>
        <v>0</v>
      </c>
      <c r="G13" s="208">
        <f>IF(G$39=0%,"-",IF(G$2=0,"-",ORIGIN!$B13))</f>
        <v>0</v>
      </c>
      <c r="H13" s="208">
        <f>IF(H$39=0%,"-",IF(H$2=0,"-",'RED ENERGY'!$B13))</f>
        <v>0</v>
      </c>
      <c r="I13" s="208">
        <f>IF(I$39=0%,"-",IF(I$2=0,"-",ENGIE!$B13))</f>
        <v>0.33333333333333331</v>
      </c>
      <c r="J13" s="208">
        <f>IF(J$39=0%,"-",IF(J$2=0,"-",MOMENTUM!$B13))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1</v>
      </c>
      <c r="C14" s="207" t="s">
        <v>1</v>
      </c>
      <c r="D14" s="209">
        <f>IF(D$39=0%,"-",IF(D$2=0,"-",AGL!$B14))</f>
        <v>1</v>
      </c>
      <c r="E14" s="209">
        <f>IF(E$39=0%,"-",IF(E$2=0,"-",ALINTA!$B14))</f>
        <v>1</v>
      </c>
      <c r="F14" s="209">
        <f>IF(F$39=0%,"-",IF(F$2=0,"-",'ENERGY AUSTRALIA'!$B14))</f>
        <v>1</v>
      </c>
      <c r="G14" s="209">
        <f>IF(G$39=0%,"-",IF(G$2=0,"-",ORIGIN!$B14))</f>
        <v>1</v>
      </c>
      <c r="H14" s="209">
        <f>IF(H$39=0%,"-",IF(H$2=0,"-",'RED ENERGY'!$B14))</f>
        <v>1</v>
      </c>
      <c r="I14" s="209">
        <f>IF(I$39=0%,"-",IF(I$2=0,"-",ENGIE!$B14))</f>
        <v>1</v>
      </c>
      <c r="J14" s="209">
        <f>IF(J$39=0%,"-",IF(J$2=0,"-",MOMENTUM!$B14))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IF($C$2=0,"-",AVERAGE(D15:L15))</f>
        <v>0.19047619047619047</v>
      </c>
      <c r="C15" s="207" t="s">
        <v>1</v>
      </c>
      <c r="D15" s="208">
        <f>IF(D$39=0%,"-",IF(D$2=0,"-",AGL!$B15))</f>
        <v>0</v>
      </c>
      <c r="E15" s="208">
        <f>IF(E$39=0%,"-",IF(E$2=0,"-",ALINTA!$B15))</f>
        <v>0.33333333333333331</v>
      </c>
      <c r="F15" s="208">
        <f>IF(F$39=0%,"-",IF(F$2=0,"-",'ENERGY AUSTRALIA'!$B15))</f>
        <v>0.16666666666666666</v>
      </c>
      <c r="G15" s="208">
        <f>IF(G$39=0%,"-",IF(G$2=0,"-",ORIGIN!$B15))</f>
        <v>0</v>
      </c>
      <c r="H15" s="208">
        <f>IF(H$39=0%,"-",IF(H$2=0,"-",'RED ENERGY'!$B15))</f>
        <v>0.16666666666666666</v>
      </c>
      <c r="I15" s="208">
        <f>IF(I$39=0%,"-",IF(I$2=0,"-",ENGIE!$B15))</f>
        <v>0.66666666666666663</v>
      </c>
      <c r="J15" s="208">
        <f>IF(J$39=0%,"-",IF(J$2=0,"-",MOMENTUM!$B15))</f>
        <v>0</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IF($C$2=0,"-",AVERAGE(D17:L17))</f>
        <v>0.70238095238095244</v>
      </c>
      <c r="C17" s="1">
        <f>AJ26</f>
        <v>0.25</v>
      </c>
      <c r="D17" s="211">
        <f>IF(D$39=0%,"-",IF(D$2=0,"-",AGL!$B17))</f>
        <v>0.625</v>
      </c>
      <c r="E17" s="211">
        <f>IF(E$39=0%,"-",IF(E$2=0,"-",ALINTA!$B17))</f>
        <v>0.70833333333333337</v>
      </c>
      <c r="F17" s="211">
        <f>IF(F$39=0%,"-",IF(F$2=0,"-",'ENERGY AUSTRALIA'!$B17))</f>
        <v>0.66666666666666663</v>
      </c>
      <c r="G17" s="211">
        <f>IF(G$39=0%,"-",IF(G$2=0,"-",ORIGIN!$B17))</f>
        <v>0.75</v>
      </c>
      <c r="H17" s="211">
        <f>IF(H$39=0%,"-",IF(H$2=0,"-",'RED ENERGY'!$B17))</f>
        <v>0.83333333333333326</v>
      </c>
      <c r="I17" s="211">
        <f>IF(I$39=0%,"-",IF(I$2=0,"-",ENGIE!$B17))</f>
        <v>0.66666666666666663</v>
      </c>
      <c r="J17" s="211">
        <f>IF(J$39=0%,"-",IF(J$2=0,"-",MOMENTUM!$B17))</f>
        <v>0.66666666666666674</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0.73333333333333328</v>
      </c>
      <c r="C18" s="207" t="s">
        <v>1</v>
      </c>
      <c r="D18" s="208">
        <f>IF(D$39=0%,"-",IF(D$2=0,"-",AGL!$B18))</f>
        <v>0.33333333333333331</v>
      </c>
      <c r="E18" s="208">
        <f>IF(E$39=0%,"-",IF(E$2=0,"-",ALINTA!$B18))</f>
        <v>1</v>
      </c>
      <c r="F18" s="208">
        <f>IF(F$39=0%,"-",IF(F$2=0,"-",'ENERGY AUSTRALIA'!$B18))</f>
        <v>0.5</v>
      </c>
      <c r="G18" s="208">
        <f>IF(G$39=0%,"-",IF(G$2=0,"-",ORIGIN!$B18))</f>
        <v>0.8</v>
      </c>
      <c r="H18" s="208">
        <f>IF(H$39=0%,"-",IF(H$2=0,"-",'RED ENERGY'!$B18))</f>
        <v>1</v>
      </c>
      <c r="I18" s="208">
        <f>IF(I$39=0%,"-",IF(I$2=0,"-",ENGIE!$B18))</f>
        <v>0.66666666666666663</v>
      </c>
      <c r="J18" s="208">
        <f>IF(J$39=0%,"-",IF(J$2=0,"-",MOMENTUM!$B18))</f>
        <v>0.83333333333333337</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0.17142857142857143</v>
      </c>
      <c r="C19" s="207" t="s">
        <v>1</v>
      </c>
      <c r="D19" s="209">
        <f>IF(D$39=0%,"-",IF(D$2=0,"-",AGL!$B19))</f>
        <v>0.33333333333333331</v>
      </c>
      <c r="E19" s="209">
        <f>IF(E$39=0%,"-",IF(E$2=0,"-",ALINTA!$B19))</f>
        <v>0</v>
      </c>
      <c r="F19" s="209">
        <f>IF(F$39=0%,"-",IF(F$2=0,"-",'ENERGY AUSTRALIA'!$B19))</f>
        <v>0.16666666666666666</v>
      </c>
      <c r="G19" s="209">
        <f>IF(G$39=0%,"-",IF(G$2=0,"-",ORIGIN!$B19))</f>
        <v>0.2</v>
      </c>
      <c r="H19" s="209">
        <f>IF(H$39=0%,"-",IF(H$2=0,"-",'RED ENERGY'!$B19))</f>
        <v>0.33333333333333331</v>
      </c>
      <c r="I19" s="209">
        <f>IF(I$39=0%,"-",IF(I$2=0,"-",ENGIE!$B19))</f>
        <v>0.16666666666666666</v>
      </c>
      <c r="J19" s="209">
        <f>IF(J$39=0%,"-",IF(J$2=0,"-",MOMENTUM!$B19))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0.90476190476190477</v>
      </c>
      <c r="C20" s="207" t="s">
        <v>1</v>
      </c>
      <c r="D20" s="208">
        <f>IF(D$39=0%,"-",IF(D$2=0,"-",AGL!$B20))</f>
        <v>0.83333333333333337</v>
      </c>
      <c r="E20" s="208">
        <f>IF(E$39=0%,"-",IF(E$2=0,"-",ALINTA!$B20))</f>
        <v>0.83333333333333337</v>
      </c>
      <c r="F20" s="208">
        <f>IF(F$39=0%,"-",IF(F$2=0,"-",'ENERGY AUSTRALIA'!$B20))</f>
        <v>1</v>
      </c>
      <c r="G20" s="208">
        <f>IF(G$39=0%,"-",IF(G$2=0,"-",ORIGIN!$B20))</f>
        <v>1</v>
      </c>
      <c r="H20" s="208">
        <f>IF(H$39=0%,"-",IF(H$2=0,"-",'RED ENERGY'!$B20))</f>
        <v>1</v>
      </c>
      <c r="I20" s="208">
        <f>IF(I$39=0%,"-",IF(I$2=0,"-",ENGIE!$B20))</f>
        <v>0.83333333333333337</v>
      </c>
      <c r="J20" s="208">
        <f>IF(J$39=0%,"-",IF(J$2=0,"-",MOMENTUM!$B20))</f>
        <v>0.83333333333333337</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1</v>
      </c>
      <c r="C21" s="207" t="s">
        <v>1</v>
      </c>
      <c r="D21" s="209">
        <f>IF(D$39=0%,"-",IF(D$2=0,"-",AGL!$B21))</f>
        <v>1</v>
      </c>
      <c r="E21" s="209">
        <f>IF(E$39=0%,"-",IF(E$2=0,"-",ALINTA!$B21))</f>
        <v>1</v>
      </c>
      <c r="F21" s="209">
        <f>IF(F$39=0%,"-",IF(F$2=0,"-",'ENERGY AUSTRALIA'!$B21))</f>
        <v>1</v>
      </c>
      <c r="G21" s="209">
        <f>IF(G$39=0%,"-",IF(G$2=0,"-",ORIGIN!$B21))</f>
        <v>1</v>
      </c>
      <c r="H21" s="209">
        <f>IF(H$39=0%,"-",IF(H$2=0,"-",'RED ENERGY'!$B21))</f>
        <v>1</v>
      </c>
      <c r="I21" s="209">
        <f>IF(I$39=0%,"-",IF(I$2=0,"-",ENGIE!$B21))</f>
        <v>1</v>
      </c>
      <c r="J21" s="209">
        <f>IF(J$39=0%,"-",IF(J$2=0,"-",MOMENTUM!$B21))</f>
        <v>1</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IF($C$2=0,"-",AVERAGE(D23:L23))</f>
        <v>0.58095238095238089</v>
      </c>
      <c r="C23" s="1">
        <f>AJ27</f>
        <v>0.15</v>
      </c>
      <c r="D23" s="211">
        <f>IF(D$39=0%,"-",IF(D$2=0,"-",AGL!$B23))</f>
        <v>0.66666666666666663</v>
      </c>
      <c r="E23" s="211">
        <f>IF(E$39=0%,"-",IF(E$2=0,"-",ALINTA!$B23))</f>
        <v>0.72222222222222221</v>
      </c>
      <c r="F23" s="211">
        <f>IF(F$39=0%,"-",IF(F$2=0,"-",'ENERGY AUSTRALIA'!$B23))</f>
        <v>0.77777777777777779</v>
      </c>
      <c r="G23" s="211">
        <f>IF(G$39=0%,"-",IF(G$2=0,"-",ORIGIN!$B23))</f>
        <v>0.40000000000000008</v>
      </c>
      <c r="H23" s="211">
        <f>IF(H$39=0%,"-",IF(H$2=0,"-",'RED ENERGY'!$B23))</f>
        <v>0.5</v>
      </c>
      <c r="I23" s="211">
        <f>IF(I$39=0%,"-",IF(I$2=0,"-",ENGIE!$B23))</f>
        <v>0.44444444444444448</v>
      </c>
      <c r="J23" s="211">
        <f>IF(J$39=0%,"-",IF(J$2=0,"-",MOMENTUM!$B23))</f>
        <v>0.55555555555555547</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IF($C$2=0,"-",AVERAGE(D24:L24))</f>
        <v>0.48571428571428571</v>
      </c>
      <c r="C24" s="207" t="s">
        <v>1</v>
      </c>
      <c r="D24" s="208">
        <f>IF(D$39=0%,"-",IF(D$2=0,"-",AGL!$B24))</f>
        <v>0.83333333333333337</v>
      </c>
      <c r="E24" s="208">
        <f>IF(E$39=0%,"-",IF(E$2=0,"-",ALINTA!$B24))</f>
        <v>0.5</v>
      </c>
      <c r="F24" s="208">
        <f>IF(F$39=0%,"-",IF(F$2=0,"-",'ENERGY AUSTRALIA'!$B24))</f>
        <v>0.5</v>
      </c>
      <c r="G24" s="208">
        <f>IF(G$39=0%,"-",IF(G$2=0,"-",ORIGIN!$B24))</f>
        <v>0.4</v>
      </c>
      <c r="H24" s="208">
        <f>IF(H$39=0%,"-",IF(H$2=0,"-",'RED ENERGY'!$B24))</f>
        <v>0.16666666666666666</v>
      </c>
      <c r="I24" s="208">
        <f>IF(I$39=0%,"-",IF(I$2=0,"-",ENGIE!$B24))</f>
        <v>0.5</v>
      </c>
      <c r="J24" s="208">
        <f>IF(J$39=0%,"-",IF(J$2=0,"-",MOMENTUM!$B24))</f>
        <v>0.5</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0.4333333333333334</v>
      </c>
      <c r="C25" s="207" t="s">
        <v>1</v>
      </c>
      <c r="D25" s="209">
        <f>IF(D$39=0%,"-",IF(D$2=0,"-",AGL!$B25))</f>
        <v>0.5</v>
      </c>
      <c r="E25" s="209">
        <f>IF(E$39=0%,"-",IF(E$2=0,"-",ALINTA!$B25))</f>
        <v>0.66666666666666663</v>
      </c>
      <c r="F25" s="209">
        <f>IF(F$39=0%,"-",IF(F$2=0,"-",'ENERGY AUSTRALIA'!$B25))</f>
        <v>0.83333333333333337</v>
      </c>
      <c r="G25" s="209">
        <f>IF(G$39=0%,"-",IF(G$2=0,"-",ORIGIN!$B25))</f>
        <v>0.2</v>
      </c>
      <c r="H25" s="209">
        <f>IF(H$39=0%,"-",IF(H$2=0,"-",'RED ENERGY'!$B25))</f>
        <v>0.5</v>
      </c>
      <c r="I25" s="209">
        <f>IF(I$39=0%,"-",IF(I$2=0,"-",ENGIE!$B25))</f>
        <v>0</v>
      </c>
      <c r="J25" s="209">
        <f>IF(J$39=0%,"-",IF(J$2=0,"-",MOMENTUM!$B25))</f>
        <v>0.33333333333333331</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0.82380952380952366</v>
      </c>
      <c r="C26" s="207" t="s">
        <v>1</v>
      </c>
      <c r="D26" s="208">
        <f>IF(D$39=0%,"-",IF(D$2=0,"-",AGL!$B26))</f>
        <v>0.66666666666666663</v>
      </c>
      <c r="E26" s="208">
        <f>IF(E$39=0%,"-",IF(E$2=0,"-",ALINTA!$B26))</f>
        <v>1</v>
      </c>
      <c r="F26" s="208">
        <f>IF(F$39=0%,"-",IF(F$2=0,"-",'ENERGY AUSTRALIA'!$B26))</f>
        <v>1</v>
      </c>
      <c r="G26" s="208">
        <f>IF(G$39=0%,"-",IF(G$2=0,"-",ORIGIN!$B26))</f>
        <v>0.6</v>
      </c>
      <c r="H26" s="208">
        <f>IF(H$39=0%,"-",IF(H$2=0,"-",'RED ENERGY'!$B26))</f>
        <v>0.83333333333333337</v>
      </c>
      <c r="I26" s="208">
        <f>IF(I$39=0%,"-",IF(I$2=0,"-",ENGIE!$B26))</f>
        <v>0.83333333333333337</v>
      </c>
      <c r="J26" s="208">
        <f>IF(J$39=0%,"-",IF(J$2=0,"-",MOMENTUM!$B26))</f>
        <v>0.83333333333333337</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IF($C$2=0,"-",AVERAGE(D28:L28))</f>
        <v>0.76785714285714302</v>
      </c>
      <c r="C28" s="1">
        <f>AJ28</f>
        <v>0.2</v>
      </c>
      <c r="D28" s="211">
        <f>IF(D$39=0%,"-",IF(D$2=0,"-",AGL!$B28))</f>
        <v>0.75</v>
      </c>
      <c r="E28" s="211">
        <f>IF(E$39=0%,"-",IF(E$2=0,"-",ALINTA!$B28))</f>
        <v>0.83333333333333337</v>
      </c>
      <c r="F28" s="211">
        <f>IF(F$39=0%,"-",IF(F$2=0,"-",'ENERGY AUSTRALIA'!$B28))</f>
        <v>0.83333333333333337</v>
      </c>
      <c r="G28" s="211">
        <f>IF(G$39=0%,"-",IF(G$2=0,"-",ORIGIN!$B28))</f>
        <v>0.58333333333333337</v>
      </c>
      <c r="H28" s="211">
        <f>IF(H$39=0%,"-",IF(H$2=0,"-",'RED ENERGY'!$B28))</f>
        <v>0.83333333333333337</v>
      </c>
      <c r="I28" s="211">
        <f>IF(I$39=0%,"-",IF(I$2=0,"-",ENGIE!$B28))</f>
        <v>0.79166666666666663</v>
      </c>
      <c r="J28" s="211">
        <f>IF(J$39=0%,"-",IF(J$2=0,"-",MOMENTUM!$B28))</f>
        <v>0.75</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IF($C$2=0,"-",AVERAGE(D29:L29))</f>
        <v>0.9285714285714286</v>
      </c>
      <c r="C29" s="207" t="s">
        <v>1</v>
      </c>
      <c r="D29" s="208">
        <f>IF(D$39=0%,"-",IF(D$2=0,"-",AGL!$B29))</f>
        <v>1</v>
      </c>
      <c r="E29" s="208">
        <f>IF(E$39=0%,"-",IF(E$2=0,"-",ALINTA!$B29))</f>
        <v>1</v>
      </c>
      <c r="F29" s="208">
        <f>IF(F$39=0%,"-",IF(F$2=0,"-",'ENERGY AUSTRALIA'!$B29))</f>
        <v>1</v>
      </c>
      <c r="G29" s="208">
        <f>IF(G$39=0%,"-",IF(G$2=0,"-",ORIGIN!$B29))</f>
        <v>0.66666666666666663</v>
      </c>
      <c r="H29" s="208">
        <f>IF(H$39=0%,"-",IF(H$2=0,"-",'RED ENERGY'!$B29))</f>
        <v>0.83333333333333337</v>
      </c>
      <c r="I29" s="208">
        <f>IF(I$39=0%,"-",IF(I$2=0,"-",ENGIE!$B29))</f>
        <v>1</v>
      </c>
      <c r="J29" s="208">
        <f>IF(J$39=0%,"-",IF(J$2=0,"-",MOMENTUM!$B29))</f>
        <v>1</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0.80952380952380953</v>
      </c>
      <c r="C30" s="207" t="s">
        <v>1</v>
      </c>
      <c r="D30" s="209">
        <f>IF(D$39=0%,"-",IF(D$2=0,"-",AGL!$B30))</f>
        <v>0.83333333333333337</v>
      </c>
      <c r="E30" s="209">
        <f>IF(E$39=0%,"-",IF(E$2=0,"-",ALINTA!$B30))</f>
        <v>0.83333333333333337</v>
      </c>
      <c r="F30" s="209">
        <f>IF(F$39=0%,"-",IF(F$2=0,"-",'ENERGY AUSTRALIA'!$B30))</f>
        <v>0.83333333333333337</v>
      </c>
      <c r="G30" s="209">
        <f>IF(G$39=0%,"-",IF(G$2=0,"-",ORIGIN!$B30))</f>
        <v>0.33333333333333331</v>
      </c>
      <c r="H30" s="209">
        <f>IF(H$39=0%,"-",IF(H$2=0,"-",'RED ENERGY'!$B30))</f>
        <v>0.83333333333333337</v>
      </c>
      <c r="I30" s="209">
        <f>IF(I$39=0%,"-",IF(I$2=0,"-",ENGIE!$B30))</f>
        <v>1</v>
      </c>
      <c r="J30" s="209">
        <f>IF(J$39=0%,"-",IF(J$2=0,"-",MOMENTUM!$B30))</f>
        <v>1</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0.61904761904761896</v>
      </c>
      <c r="C31" s="207" t="s">
        <v>1</v>
      </c>
      <c r="D31" s="208">
        <f>IF(D$39=0%,"-",IF(D$2=0,"-",AGL!$B31))</f>
        <v>0.5</v>
      </c>
      <c r="E31" s="208">
        <f>IF(E$39=0%,"-",IF(E$2=0,"-",ALINTA!$B31))</f>
        <v>0.83333333333333337</v>
      </c>
      <c r="F31" s="208">
        <f>IF(F$39=0%,"-",IF(F$2=0,"-",'ENERGY AUSTRALIA'!$B31))</f>
        <v>0.83333333333333337</v>
      </c>
      <c r="G31" s="208">
        <f>IF(G$39=0%,"-",IF(G$2=0,"-",ORIGIN!$B31))</f>
        <v>0.5</v>
      </c>
      <c r="H31" s="208">
        <f>IF(H$39=0%,"-",IF(H$2=0,"-",'RED ENERGY'!$B31))</f>
        <v>0.83333333333333337</v>
      </c>
      <c r="I31" s="208">
        <f>IF(I$39=0%,"-",IF(I$2=0,"-",ENGIE!$B31))</f>
        <v>0.5</v>
      </c>
      <c r="J31" s="208">
        <f>IF(J$39=0%,"-",IF(J$2=0,"-",MOMENTUM!$B31))</f>
        <v>0.33333333333333331</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0.71428571428571441</v>
      </c>
      <c r="C32" s="207" t="s">
        <v>1</v>
      </c>
      <c r="D32" s="209">
        <f>IF(D$39=0%,"-",IF(D$2=0,"-",AGL!$B32))</f>
        <v>0.66666666666666663</v>
      </c>
      <c r="E32" s="209">
        <f>IF(E$39=0%,"-",IF(E$2=0,"-",ALINTA!$B32))</f>
        <v>0.66666666666666663</v>
      </c>
      <c r="F32" s="209">
        <f>IF(F$39=0%,"-",IF(F$2=0,"-",'ENERGY AUSTRALIA'!$B32))</f>
        <v>0.66666666666666663</v>
      </c>
      <c r="G32" s="209">
        <f>IF(G$39=0%,"-",IF(G$2=0,"-",ORIGIN!$B32))</f>
        <v>0.83333333333333337</v>
      </c>
      <c r="H32" s="209">
        <f>IF(H$39=0%,"-",IF(H$2=0,"-",'RED ENERGY'!$B32))</f>
        <v>0.83333333333333337</v>
      </c>
      <c r="I32" s="209">
        <f>IF(I$39=0%,"-",IF(I$2=0,"-",ENGIE!$B32))</f>
        <v>0.66666666666666663</v>
      </c>
      <c r="J32" s="209">
        <f>IF(J$39=0%,"-",IF(J$2=0,"-",MOMENTUM!$B32))</f>
        <v>0.66666666666666663</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IF($C$2=0,"-",AVERAGE(D34:L34))</f>
        <v>7.1428571428571425E-2</v>
      </c>
      <c r="C34" s="213" t="s">
        <v>42</v>
      </c>
      <c r="D34" s="214">
        <f>IF(D$39=0%,"-",AGL!$B$34)</f>
        <v>0</v>
      </c>
      <c r="E34" s="214">
        <f>IF(E$39=0%,"-",ALINTA!$B$34)</f>
        <v>0</v>
      </c>
      <c r="F34" s="214">
        <f>IF(F$39=0%,"-",'ENERGY AUSTRALIA'!$B$34)</f>
        <v>0</v>
      </c>
      <c r="G34" s="214">
        <f>IF(G$39=0%,"-",ORIGIN!$B$34)</f>
        <v>0.16666666666666666</v>
      </c>
      <c r="H34" s="214">
        <f>IF(H$39=0%,"-",'RED ENERGY'!$B$34)</f>
        <v>0.33333333333333331</v>
      </c>
      <c r="I34" s="214">
        <f>IF(I$39=0%,"-",ENGIE!$B$34)</f>
        <v>0</v>
      </c>
      <c r="J34" s="214">
        <f>IF(J$39=0%,"-",MOMENTUM!$B$34)</f>
        <v>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IF($C$2=0,"-",AVERAGE(D35:L35))</f>
        <v>4.7619047619047616E-2</v>
      </c>
      <c r="C35" s="217">
        <v>-0.3</v>
      </c>
      <c r="D35" s="208">
        <f>IF(D$39=0%,"-",IF(D$2=0,"-",AGL!$B35))</f>
        <v>0</v>
      </c>
      <c r="E35" s="208">
        <f>IF(E$39=0%,"-",IF(E$2=0,"-",ALINTA!$B35))</f>
        <v>0</v>
      </c>
      <c r="F35" s="208">
        <f>IF(F$39=0%,"-",IF(F$2=0,"-",'ENERGY AUSTRALIA'!$B35))</f>
        <v>0</v>
      </c>
      <c r="G35" s="208">
        <f>IF(G$39=0%,"-",IF(G$2=0,"-",ORIGIN!$B35))</f>
        <v>0.16666666666666666</v>
      </c>
      <c r="H35" s="208">
        <f>IF(H$39=0%,"-",IF(H$2=0,"-",'RED ENERGY'!$B35))</f>
        <v>0.16666666666666666</v>
      </c>
      <c r="I35" s="208">
        <f>IF(I$39=0%,"-",IF(I$2=0,"-",ENGIE!$B35))</f>
        <v>0</v>
      </c>
      <c r="J35" s="208">
        <f>IF(J$39=0%,"-",IF(J$2=0,"-",MOMENTUM!$B35))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IF($C$2=0,"-",AVERAGE(D36:L36))</f>
        <v>2.3809523809523808E-2</v>
      </c>
      <c r="C36" s="217">
        <v>-0.1</v>
      </c>
      <c r="D36" s="209">
        <f>IF(D$39=0%,"-",IF(D$2=0,"-",AGL!$B36))</f>
        <v>0</v>
      </c>
      <c r="E36" s="209">
        <f>IF(E$39=0%,"-",IF(E$2=0,"-",ALINTA!$B36))</f>
        <v>0</v>
      </c>
      <c r="F36" s="209">
        <f>IF(F$39=0%,"-",IF(F$2=0,"-",'ENERGY AUSTRALIA'!$B36))</f>
        <v>0</v>
      </c>
      <c r="G36" s="209">
        <f>IF(G$39=0%,"-",IF(G$2=0,"-",ORIGIN!$B36))</f>
        <v>0</v>
      </c>
      <c r="H36" s="209">
        <f>IF(H$39=0%,"-",IF(H$2=0,"-",'RED ENERGY'!$B36))</f>
        <v>0.16666666666666666</v>
      </c>
      <c r="I36" s="209">
        <f>IF(I$39=0%,"-",IF(I$2=0,"-",ENGIE!$B36))</f>
        <v>0</v>
      </c>
      <c r="J36" s="209">
        <f>IF(J$39=0%,"-",IF(J$2=0,"-",MOMENTUM!$B36))</f>
        <v>0</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 t="shared" ref="B39:B45" si="2">IF($C$2=0,"-",AVERAGE(D39:L39))</f>
        <v>1</v>
      </c>
      <c r="C39" s="220" t="s">
        <v>1</v>
      </c>
      <c r="D39" s="209">
        <f>IF(AGL!$C2=0,"-",AGL!$B39)</f>
        <v>1</v>
      </c>
      <c r="E39" s="209">
        <f>IF(ALINTA!$C2=0,"-",ALINTA!$B39)</f>
        <v>1</v>
      </c>
      <c r="F39" s="209">
        <f>IF('ENERGY AUSTRALIA'!$C2=0,"-",'ENERGY AUSTRALIA'!$B39)</f>
        <v>1</v>
      </c>
      <c r="G39" s="209">
        <f>IF(ORIGIN!$C2=0,"-",ORIGIN!$B39)</f>
        <v>1</v>
      </c>
      <c r="H39" s="209">
        <f>IF('RED ENERGY'!$C2=0,"-",'RED ENERGY'!$B39)</f>
        <v>1</v>
      </c>
      <c r="I39" s="209">
        <f>IF(ENGIE!$C2=0,"-",ENGIE!$B39)</f>
        <v>1</v>
      </c>
      <c r="J39" s="209">
        <f>IF(MOMENTUM!$C2=0,"-",MOMENTUM!$B39)</f>
        <v>1</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2">
        <f t="shared" si="2"/>
        <v>5.2943121693121691E-3</v>
      </c>
      <c r="C40" s="221" t="s">
        <v>1</v>
      </c>
      <c r="D40" s="283">
        <f>IF(D$39=0%,"-",IF(D$2=0,"-",AGL!$B40))</f>
        <v>4.9768518518518512E-3</v>
      </c>
      <c r="E40" s="283">
        <f>IF(E$39=0%,"-",IF(E$2=0,"-",ALINTA!$B40))</f>
        <v>3.7114197530864201E-3</v>
      </c>
      <c r="F40" s="283">
        <f>IF(F$39=0%,"-",IF(F$2=0,"-",'ENERGY AUSTRALIA'!$B40))</f>
        <v>5.37037037037037E-3</v>
      </c>
      <c r="G40" s="283">
        <f>IF(G$39=0%,"-",IF(G$2=0,"-",ORIGIN!$B40))</f>
        <v>3.8329475308641978E-3</v>
      </c>
      <c r="H40" s="283">
        <f>IF(H$39=0%,"-",IF(H$2=0,"-",'RED ENERGY'!$B40))</f>
        <v>6.6512345679012345E-3</v>
      </c>
      <c r="I40" s="283">
        <f>IF(I$39=0%,"-",IF(I$2=0,"-",ENGIE!$B40))</f>
        <v>8.7789351851851865E-3</v>
      </c>
      <c r="J40" s="283">
        <f>IF(J$39=0%,"-",IF(J$2=0,"-",MOMENTUM!$B40))</f>
        <v>3.7384259259259259E-3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 t="shared" si="2"/>
        <v>5.5714285714285721</v>
      </c>
      <c r="C41" s="220" t="s">
        <v>1</v>
      </c>
      <c r="D41" s="223">
        <f>IF(D$39=0%,"-",IF(D$2=0,"-",AGL!$B41))</f>
        <v>5.333333333333333</v>
      </c>
      <c r="E41" s="223">
        <f>IF(E$39=0%,"-",IF(E$2=0,"-",ALINTA!$B41))</f>
        <v>6.333333333333333</v>
      </c>
      <c r="F41" s="223">
        <f>IF(F$39=0%,"-",IF(F$2=0,"-",'ENERGY AUSTRALIA'!$B41))</f>
        <v>6.333333333333333</v>
      </c>
      <c r="G41" s="223">
        <f>IF(G$39=0%,"-",IF(G$2=0,"-",ORIGIN!$B41))</f>
        <v>4.166666666666667</v>
      </c>
      <c r="H41" s="223">
        <f>IF(H$39=0%,"-",IF(H$2=0,"-",'RED ENERGY'!$B41))</f>
        <v>5.5</v>
      </c>
      <c r="I41" s="223">
        <f>IF(I$39=0%,"-",IF(I$2=0,"-",ENGIE!$B41))</f>
        <v>6</v>
      </c>
      <c r="J41" s="223">
        <f>IF(J$39=0%,"-",IF(J$2=0,"-",MOMENTUM!$B41))</f>
        <v>5.333333333333333</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0.6428571428571429</v>
      </c>
      <c r="C42" s="221" t="s">
        <v>1</v>
      </c>
      <c r="D42" s="224">
        <f>IF(D$39=0%,"-",IF(D$2=0,"-",AGL!$B42))</f>
        <v>0.16666666666666666</v>
      </c>
      <c r="E42" s="224">
        <f>IF(E$39=0%,"-",IF(E$2=0,"-",ALINTA!$B42))</f>
        <v>0.66666666666666663</v>
      </c>
      <c r="F42" s="224">
        <f>IF(F$39=0%,"-",IF(F$2=0,"-",'ENERGY AUSTRALIA'!$B42))</f>
        <v>0.5</v>
      </c>
      <c r="G42" s="224">
        <f>IF(G$39=0%,"-",IF(G$2=0,"-",ORIGIN!$B42))</f>
        <v>0.16666666666666666</v>
      </c>
      <c r="H42" s="224">
        <f>IF(H$39=0%,"-",IF(H$2=0,"-",'RED ENERGY'!$B42))</f>
        <v>1</v>
      </c>
      <c r="I42" s="224">
        <f>IF(I$39=0%,"-",IF(I$2=0,"-",ENGIE!$B42))</f>
        <v>1</v>
      </c>
      <c r="J42" s="224">
        <f>IF(J$39=0%,"-",IF(J$2=0,"-",MOMENTUM!$B42))</f>
        <v>1</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0.90476190476190477</v>
      </c>
      <c r="C43" s="220" t="s">
        <v>1</v>
      </c>
      <c r="D43" s="209">
        <f>IF(D$39=0%,"-",IF(D$2=0,"-",AGL!$B43))</f>
        <v>1</v>
      </c>
      <c r="E43" s="209">
        <f>IF(E$39=0%,"-",IF(E$2=0,"-",ALINTA!$B43))</f>
        <v>1</v>
      </c>
      <c r="F43" s="209">
        <f>IF(F$39=0%,"-",IF(F$2=0,"-",'ENERGY AUSTRALIA'!$B43))</f>
        <v>0.66666666666666663</v>
      </c>
      <c r="G43" s="209">
        <f>IF(G$39=0%,"-",IF(G$2=0,"-",ORIGIN!$B43))</f>
        <v>0.66666666666666663</v>
      </c>
      <c r="H43" s="209">
        <f>IF(H$39=0%,"-",IF(H$2=0,"-",'RED ENERGY'!$B43))</f>
        <v>1</v>
      </c>
      <c r="I43" s="209">
        <f>IF(I$39=0%,"-",IF(I$2=0,"-",ENGIE!$B43))</f>
        <v>1</v>
      </c>
      <c r="J43" s="209">
        <f>IF(J$39=0%,"-",IF(J$2=0,"-",MOMENTUM!$B43))</f>
        <v>1</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0.7142857142857143</v>
      </c>
      <c r="C44" s="221" t="s">
        <v>1</v>
      </c>
      <c r="D44" s="224">
        <f>IF(D$39=0%,"-",IF(D$2=0,"-",AGL!$B44))</f>
        <v>0.5</v>
      </c>
      <c r="E44" s="224">
        <f>IF(E$39=0%,"-",IF(E$2=0,"-",ALINTA!$B44))</f>
        <v>0.66666666666666663</v>
      </c>
      <c r="F44" s="224">
        <f>IF(F$39=0%,"-",IF(F$2=0,"-",'ENERGY AUSTRALIA'!$B44))</f>
        <v>0.66666666666666663</v>
      </c>
      <c r="G44" s="224">
        <f>IF(G$39=0%,"-",IF(G$2=0,"-",ORIGIN!$B44))</f>
        <v>0.66666666666666663</v>
      </c>
      <c r="H44" s="224">
        <f>IF(H$39=0%,"-",IF(H$2=0,"-",'RED ENERGY'!$B44))</f>
        <v>1</v>
      </c>
      <c r="I44" s="224">
        <f>IF(I$39=0%,"-",IF(I$2=0,"-",ENGIE!$B44))</f>
        <v>0.83333333333333337</v>
      </c>
      <c r="J44" s="224">
        <f>IF(J$39=0%,"-",IF(J$2=0,"-",MOMENTUM!$B44))</f>
        <v>0.66666666666666663</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4.7619047619047616E-2</v>
      </c>
      <c r="C45" s="220" t="s">
        <v>1</v>
      </c>
      <c r="D45" s="209">
        <f>IF(D$39=0%,"-",IF(D$2=0,"-",AGL!$B45))</f>
        <v>0.16666666666666666</v>
      </c>
      <c r="E45" s="209">
        <f>IF(E$39=0%,"-",IF(E$2=0,"-",ALINTA!$B45))</f>
        <v>0</v>
      </c>
      <c r="F45" s="209">
        <f>IF(F$39=0%,"-",IF(F$2=0,"-",'ENERGY AUSTRALIA'!$B45))</f>
        <v>0</v>
      </c>
      <c r="G45" s="209">
        <f>IF(G$39=0%,"-",IF(G$2=0,"-",ORIGIN!$B45))</f>
        <v>0.16666666666666666</v>
      </c>
      <c r="H45" s="209">
        <f>IF(H$39=0%,"-",IF(H$2=0,"-",'RED ENERGY'!$B45))</f>
        <v>0</v>
      </c>
      <c r="I45" s="209">
        <f>IF(I$39=0%,"-",IF(I$2=0,"-",ENGIE!$B45))</f>
        <v>0</v>
      </c>
      <c r="J45" s="209">
        <f>IF(J$39=0%,"-",IF(J$2=0,"-",MOMENTUM!$B45))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3">D1</f>
        <v>AGL</v>
      </c>
      <c r="E47" s="228" t="str">
        <f t="shared" si="3"/>
        <v>ALINTA</v>
      </c>
      <c r="F47" s="228" t="str">
        <f t="shared" si="3"/>
        <v>ENERGY AUSTRALIA</v>
      </c>
      <c r="G47" s="228" t="str">
        <f t="shared" si="3"/>
        <v>ORIGIN</v>
      </c>
      <c r="H47" s="228" t="str">
        <f t="shared" si="3"/>
        <v>RED ENERGY</v>
      </c>
      <c r="I47" s="228" t="str">
        <f t="shared" si="3"/>
        <v>ENGIE</v>
      </c>
      <c r="J47" s="228" t="str">
        <f t="shared" si="3"/>
        <v>MOMENTUM</v>
      </c>
      <c r="K47" s="228" t="str">
        <f t="shared" si="3"/>
        <v>ENERGY 8</v>
      </c>
      <c r="L47" s="228" t="str">
        <f t="shared" si="3"/>
        <v>ENERGY 9</v>
      </c>
      <c r="M47" s="228" t="str">
        <f t="shared" ref="M47:AG47" si="4">M1</f>
        <v>ENERGY 10</v>
      </c>
      <c r="N47" s="228" t="str">
        <f t="shared" si="4"/>
        <v>ENERGY 11</v>
      </c>
      <c r="O47" s="228" t="str">
        <f t="shared" si="4"/>
        <v>ENERGY 12</v>
      </c>
      <c r="P47" s="228" t="str">
        <f t="shared" si="4"/>
        <v>ENERGY 13</v>
      </c>
      <c r="Q47" s="228" t="str">
        <f t="shared" si="4"/>
        <v>ENERGY 14</v>
      </c>
      <c r="R47" s="228" t="str">
        <f t="shared" si="4"/>
        <v>ENERGY 15</v>
      </c>
      <c r="S47" s="228" t="str">
        <f t="shared" si="4"/>
        <v>ENERGY 16</v>
      </c>
      <c r="T47" s="228" t="str">
        <f t="shared" si="4"/>
        <v>ENERGY 17</v>
      </c>
      <c r="U47" s="228" t="str">
        <f t="shared" si="4"/>
        <v>ENERGY 18</v>
      </c>
      <c r="V47" s="228" t="str">
        <f t="shared" si="4"/>
        <v>ENERGY 19</v>
      </c>
      <c r="W47" s="228" t="str">
        <f t="shared" si="4"/>
        <v>ENERGY 20</v>
      </c>
      <c r="X47" s="228" t="str">
        <f t="shared" si="4"/>
        <v>ENERGY 21</v>
      </c>
      <c r="Y47" s="228" t="str">
        <f t="shared" si="4"/>
        <v>ENERGY 22</v>
      </c>
      <c r="Z47" s="228" t="str">
        <f t="shared" si="4"/>
        <v>ENERGY 23</v>
      </c>
      <c r="AA47" s="228" t="str">
        <f t="shared" si="4"/>
        <v>ENERGY 24</v>
      </c>
      <c r="AB47" s="228"/>
      <c r="AC47" s="228"/>
      <c r="AD47" s="228"/>
      <c r="AE47" s="228" t="str">
        <f t="shared" si="4"/>
        <v>ENERGY 28</v>
      </c>
      <c r="AF47" s="228" t="str">
        <f t="shared" si="4"/>
        <v>ENERGY 29</v>
      </c>
      <c r="AG47" s="228" t="str">
        <f t="shared" si="4"/>
        <v>ENERGY 30</v>
      </c>
    </row>
    <row r="48" spans="1:35" ht="21" x14ac:dyDescent="0.2">
      <c r="A48" s="89" t="s">
        <v>62</v>
      </c>
      <c r="B48" s="229">
        <f>IF(B51="-","-",AVERAGE(D48:L48))</f>
        <v>0.61332312925170063</v>
      </c>
      <c r="C48" s="230" t="s">
        <v>1</v>
      </c>
      <c r="D48" s="90">
        <f t="shared" ref="D48:I48" si="5">IF(D51="-","-",IF(D$67&lt;0%,0%,D$67))</f>
        <v>0.55143750000000002</v>
      </c>
      <c r="E48" s="90">
        <f t="shared" si="5"/>
        <v>0.65806448412698404</v>
      </c>
      <c r="F48" s="90">
        <f t="shared" si="5"/>
        <v>0.65567361111111122</v>
      </c>
      <c r="G48" s="90">
        <f t="shared" si="5"/>
        <v>0.48589781746031746</v>
      </c>
      <c r="H48" s="90">
        <f t="shared" si="5"/>
        <v>0.64871527777777782</v>
      </c>
      <c r="I48" s="90">
        <f t="shared" si="5"/>
        <v>0.73145833333333332</v>
      </c>
      <c r="J48" s="90">
        <f>IF(J51="-","-",IF(J$67&lt;0%,0%,J$67))</f>
        <v>0.56201488095238095</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IF(D51="-","-",AVERAGE(D51:L51))</f>
        <v>0.69510487528344667</v>
      </c>
      <c r="C51" s="94">
        <v>0.3</v>
      </c>
      <c r="D51" s="284">
        <f>[1]OVERALL!D$4</f>
        <v>0.52076388888888892</v>
      </c>
      <c r="E51" s="284">
        <f>[1]OVERALL!E$4</f>
        <v>0.63961309523809529</v>
      </c>
      <c r="F51" s="284">
        <f>[1]OVERALL!F$4</f>
        <v>0.56520833333333342</v>
      </c>
      <c r="G51" s="284">
        <f>[1]OVERALL!G$4</f>
        <v>0.65877976190476184</v>
      </c>
      <c r="H51" s="284">
        <f>[1]OVERALL!H$4</f>
        <v>0.91145833333333337</v>
      </c>
      <c r="I51" s="284">
        <f>[1]OVERALL!I$4</f>
        <v>0.94097222222222221</v>
      </c>
      <c r="J51" s="284">
        <f>[1]OVERALL!J$4</f>
        <v>0.62893849206349217</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IF($C$2=0,"-",AVERAGE(D52:L52))</f>
        <v>0.57827380952380947</v>
      </c>
      <c r="C52" s="94">
        <v>0.7</v>
      </c>
      <c r="D52" s="95">
        <f t="shared" ref="D52:J52" si="6">D4</f>
        <v>0.56458333333333344</v>
      </c>
      <c r="E52" s="95">
        <f t="shared" si="6"/>
        <v>0.66597222222222208</v>
      </c>
      <c r="F52" s="95">
        <f t="shared" si="6"/>
        <v>0.69444444444444453</v>
      </c>
      <c r="G52" s="95">
        <f t="shared" si="6"/>
        <v>0.41180555555555559</v>
      </c>
      <c r="H52" s="95">
        <f t="shared" si="6"/>
        <v>0.53611111111111109</v>
      </c>
      <c r="I52" s="95">
        <f t="shared" si="6"/>
        <v>0.64166666666666672</v>
      </c>
      <c r="J52" s="95">
        <f t="shared" si="6"/>
        <v>0.53333333333333333</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0.20853146258503399</v>
      </c>
      <c r="C55" s="246"/>
      <c r="D55" s="98">
        <f t="shared" ref="D55:I55" si="7">IF(D51="-","-",D51*$C$51)</f>
        <v>0.15622916666666667</v>
      </c>
      <c r="E55" s="98">
        <f t="shared" si="7"/>
        <v>0.19188392857142858</v>
      </c>
      <c r="F55" s="98">
        <f t="shared" si="7"/>
        <v>0.16956250000000003</v>
      </c>
      <c r="G55" s="98">
        <f t="shared" si="7"/>
        <v>0.19763392857142856</v>
      </c>
      <c r="H55" s="98">
        <f t="shared" si="7"/>
        <v>0.2734375</v>
      </c>
      <c r="I55" s="98">
        <f t="shared" si="7"/>
        <v>0.28229166666666666</v>
      </c>
      <c r="J55" s="98">
        <f>IF(J51="-","-",J51*$C$51)</f>
        <v>0.18868154761904765</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0.40479166666666661</v>
      </c>
      <c r="C56" s="246"/>
      <c r="D56" s="99">
        <f t="shared" ref="D56:J56" si="8">IF(D52="-","-",D52*$C$52)</f>
        <v>0.39520833333333338</v>
      </c>
      <c r="E56" s="99">
        <f t="shared" si="8"/>
        <v>0.46618055555555543</v>
      </c>
      <c r="F56" s="99">
        <f t="shared" si="8"/>
        <v>0.48611111111111116</v>
      </c>
      <c r="G56" s="99">
        <f t="shared" si="8"/>
        <v>0.28826388888888888</v>
      </c>
      <c r="H56" s="99">
        <f t="shared" si="8"/>
        <v>0.37527777777777777</v>
      </c>
      <c r="I56" s="99">
        <f t="shared" si="8"/>
        <v>0.44916666666666666</v>
      </c>
      <c r="J56" s="99">
        <f t="shared" si="8"/>
        <v>0.37333333333333329</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IF(B51="-","-",AVERAGE(D57:L57))</f>
        <v>0.61332312925170063</v>
      </c>
      <c r="C57" s="241" t="s">
        <v>1</v>
      </c>
      <c r="D57" s="101">
        <f t="shared" ref="D57:I57" si="9">IF(D51="-","-",SUM(D55:D56))</f>
        <v>0.55143750000000002</v>
      </c>
      <c r="E57" s="101">
        <f t="shared" si="9"/>
        <v>0.65806448412698404</v>
      </c>
      <c r="F57" s="101">
        <f t="shared" si="9"/>
        <v>0.65567361111111122</v>
      </c>
      <c r="G57" s="101">
        <f t="shared" si="9"/>
        <v>0.48589781746031746</v>
      </c>
      <c r="H57" s="101">
        <f t="shared" si="9"/>
        <v>0.64871527777777782</v>
      </c>
      <c r="I57" s="101">
        <f t="shared" si="9"/>
        <v>0.73145833333333332</v>
      </c>
      <c r="J57" s="101">
        <f>IF(J51="-","-",SUM(J55:J56))</f>
        <v>0.56201488095238095</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IF(B51="-","-",AVERAGE(D59:L59))</f>
        <v>1</v>
      </c>
      <c r="C59" s="260"/>
      <c r="D59" s="103">
        <f t="shared" ref="D59:J59" si="10">D39</f>
        <v>1</v>
      </c>
      <c r="E59" s="103">
        <f t="shared" si="10"/>
        <v>1</v>
      </c>
      <c r="F59" s="103">
        <f t="shared" si="10"/>
        <v>1</v>
      </c>
      <c r="G59" s="103">
        <f t="shared" si="10"/>
        <v>1</v>
      </c>
      <c r="H59" s="103">
        <f t="shared" si="10"/>
        <v>1</v>
      </c>
      <c r="I59" s="103">
        <f t="shared" si="10"/>
        <v>1</v>
      </c>
      <c r="J59" s="103">
        <f t="shared" si="10"/>
        <v>1</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46" t="s">
        <v>1</v>
      </c>
      <c r="C60" s="347"/>
      <c r="D60" s="105">
        <f t="shared" ref="D60:I60" si="11">IF(D51="-","-",SUM(D63:D66))</f>
        <v>0</v>
      </c>
      <c r="E60" s="105">
        <f t="shared" si="11"/>
        <v>0</v>
      </c>
      <c r="F60" s="105">
        <f t="shared" si="11"/>
        <v>0</v>
      </c>
      <c r="G60" s="105">
        <f t="shared" si="11"/>
        <v>0</v>
      </c>
      <c r="H60" s="105">
        <f t="shared" si="11"/>
        <v>0</v>
      </c>
      <c r="I60" s="105">
        <f t="shared" si="11"/>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3">
        <f t="shared" ref="D63:J63" si="12">IF(D59&gt;75%, $B$63, "-")</f>
        <v>0</v>
      </c>
      <c r="E63" s="263">
        <f t="shared" si="12"/>
        <v>0</v>
      </c>
      <c r="F63" s="263">
        <f t="shared" si="12"/>
        <v>0</v>
      </c>
      <c r="G63" s="263">
        <f t="shared" si="12"/>
        <v>0</v>
      </c>
      <c r="H63" s="263">
        <f t="shared" si="12"/>
        <v>0</v>
      </c>
      <c r="I63" s="263">
        <f t="shared" si="12"/>
        <v>0</v>
      </c>
      <c r="J63" s="263">
        <f t="shared" si="12"/>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3" t="str">
        <f t="shared" ref="D64:J64" si="13">IF(D59&gt;50%, IF(D59&lt;=75%, $B$64, "-"), "-")</f>
        <v>-</v>
      </c>
      <c r="E64" s="263" t="str">
        <f t="shared" si="13"/>
        <v>-</v>
      </c>
      <c r="F64" s="263" t="str">
        <f t="shared" si="13"/>
        <v>-</v>
      </c>
      <c r="G64" s="263" t="str">
        <f t="shared" si="13"/>
        <v>-</v>
      </c>
      <c r="H64" s="263" t="str">
        <f t="shared" si="13"/>
        <v>-</v>
      </c>
      <c r="I64" s="263" t="str">
        <f t="shared" si="13"/>
        <v>-</v>
      </c>
      <c r="J64" s="263" t="str">
        <f t="shared" si="13"/>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3" t="str">
        <f t="shared" ref="D65:J65" si="14">IF(D59&lt;=50%, IF(D59&gt;25%, $B$65, "-"), "-")</f>
        <v>-</v>
      </c>
      <c r="E65" s="263" t="str">
        <f t="shared" si="14"/>
        <v>-</v>
      </c>
      <c r="F65" s="263" t="str">
        <f t="shared" si="14"/>
        <v>-</v>
      </c>
      <c r="G65" s="263" t="str">
        <f t="shared" si="14"/>
        <v>-</v>
      </c>
      <c r="H65" s="263" t="str">
        <f t="shared" si="14"/>
        <v>-</v>
      </c>
      <c r="I65" s="263" t="str">
        <f t="shared" si="14"/>
        <v>-</v>
      </c>
      <c r="J65" s="263" t="str">
        <f t="shared" si="14"/>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0.55143750000000002</v>
      </c>
      <c r="E67" s="108">
        <f t="shared" si="16"/>
        <v>0.65806448412698404</v>
      </c>
      <c r="F67" s="108">
        <f t="shared" si="16"/>
        <v>0.65567361111111122</v>
      </c>
      <c r="G67" s="108">
        <f t="shared" si="16"/>
        <v>0.48589781746031746</v>
      </c>
      <c r="H67" s="108">
        <f t="shared" si="16"/>
        <v>0.64871527777777782</v>
      </c>
      <c r="I67" s="108">
        <f t="shared" si="16"/>
        <v>0.73145833333333332</v>
      </c>
      <c r="J67" s="108">
        <f>IF(J51="-","-",J57-J60)</f>
        <v>0.56201488095238095</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6" customFormat="1" x14ac:dyDescent="0.2">
      <c r="A69" s="112" t="s">
        <v>82</v>
      </c>
      <c r="B69" s="285">
        <f>[1]OVERALL!$B$70</f>
        <v>1.9196428571428572E-3</v>
      </c>
      <c r="C69" s="267"/>
      <c r="D69" s="285">
        <f>[1]OVERALL!D$70</f>
        <v>1.8537808641975306E-3</v>
      </c>
      <c r="E69" s="285">
        <f>[1]OVERALL!E$70</f>
        <v>1.7997685185185183E-3</v>
      </c>
      <c r="F69" s="285">
        <f>[1]OVERALL!F$70</f>
        <v>3.2407407407407398E-3</v>
      </c>
      <c r="G69" s="285">
        <f>[1]OVERALL!G$70</f>
        <v>2.1875000000000002E-3</v>
      </c>
      <c r="H69" s="285">
        <f>[1]OVERALL!H$70</f>
        <v>9.3557098765432089E-4</v>
      </c>
      <c r="I69" s="285">
        <f>[1]OVERALL!I$70</f>
        <v>5.9027777777777778E-4</v>
      </c>
      <c r="J69" s="285">
        <f>[1]OVERALL!J$70</f>
        <v>2.8298611111111116E-3</v>
      </c>
    </row>
    <row r="70" spans="1:33" s="266" customFormat="1" x14ac:dyDescent="0.2">
      <c r="A70" s="267" t="s">
        <v>41</v>
      </c>
      <c r="B70" s="268">
        <f>B40</f>
        <v>5.2943121693121691E-3</v>
      </c>
      <c r="C70" s="267"/>
      <c r="D70" s="269">
        <f t="shared" ref="D70:I70" si="17">D40</f>
        <v>4.9768518518518512E-3</v>
      </c>
      <c r="E70" s="269">
        <f t="shared" si="17"/>
        <v>3.7114197530864201E-3</v>
      </c>
      <c r="F70" s="269">
        <f t="shared" si="17"/>
        <v>5.37037037037037E-3</v>
      </c>
      <c r="G70" s="269">
        <f t="shared" si="17"/>
        <v>3.8329475308641978E-3</v>
      </c>
      <c r="H70" s="269">
        <f t="shared" si="17"/>
        <v>6.6512345679012345E-3</v>
      </c>
      <c r="I70" s="269">
        <f t="shared" si="17"/>
        <v>8.7789351851851865E-3</v>
      </c>
      <c r="J70" s="269">
        <f>J40</f>
        <v>3.7384259259259259E-3</v>
      </c>
    </row>
    <row r="71" spans="1:33" s="266" customFormat="1" x14ac:dyDescent="0.2">
      <c r="A71" s="250" t="s">
        <v>81</v>
      </c>
      <c r="B71" s="270">
        <f>IF(B69="-","-",SUM(B69:B70))</f>
        <v>7.2139550264550267E-3</v>
      </c>
      <c r="C71" s="267"/>
      <c r="D71" s="270">
        <f t="shared" ref="D71:I71" si="18">IF(D69="-","-",SUM(D69:D70))</f>
        <v>6.8306327160493818E-3</v>
      </c>
      <c r="E71" s="270">
        <f t="shared" si="18"/>
        <v>5.5111882716049384E-3</v>
      </c>
      <c r="F71" s="270">
        <f t="shared" si="18"/>
        <v>8.6111111111111093E-3</v>
      </c>
      <c r="G71" s="270">
        <f t="shared" si="18"/>
        <v>6.020447530864198E-3</v>
      </c>
      <c r="H71" s="270">
        <f t="shared" si="18"/>
        <v>7.586805555555555E-3</v>
      </c>
      <c r="I71" s="270">
        <f t="shared" si="18"/>
        <v>9.3692129629629646E-3</v>
      </c>
      <c r="J71" s="270">
        <f>IF(J69="-","-",SUM(J69:J70))</f>
        <v>6.5682870370370374E-3</v>
      </c>
    </row>
    <row r="73" spans="1:33" x14ac:dyDescent="0.2">
      <c r="J73" t="s">
        <v>84</v>
      </c>
    </row>
  </sheetData>
  <sortState xmlns:xlrd2="http://schemas.microsoft.com/office/spreadsheetml/2017/richdata2" ref="AI15:AI20">
    <sortCondition ref="AI15:AI20"/>
  </sortState>
  <mergeCells count="1">
    <mergeCell ref="B60:C60"/>
  </mergeCells>
  <phoneticPr fontId="23"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tabSelected="1" zoomScale="90" zoomScaleNormal="90" workbookViewId="0">
      <pane xSplit="3" ySplit="6" topLeftCell="D7" activePane="bottomRight" state="frozen"/>
      <selection activeCell="D41" sqref="D41:F49"/>
      <selection pane="topRight" activeCell="D41" sqref="D41:F49"/>
      <selection pane="bottomLeft" activeCell="D41" sqref="D41:F49"/>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194</v>
      </c>
      <c r="E2" s="297" t="s">
        <v>152</v>
      </c>
      <c r="F2" s="295" t="s">
        <v>138</v>
      </c>
      <c r="G2" s="293" t="s">
        <v>124</v>
      </c>
      <c r="H2" s="301" t="s">
        <v>165</v>
      </c>
      <c r="I2" s="304" t="s">
        <v>180</v>
      </c>
    </row>
    <row r="3" spans="1:11" ht="19" x14ac:dyDescent="0.2">
      <c r="A3" s="32" t="str">
        <f>OVERALL!D1</f>
        <v>AGL</v>
      </c>
      <c r="B3" s="249">
        <f>OVERALL!D3</f>
        <v>0.55143750000000002</v>
      </c>
      <c r="C3" s="109" t="s">
        <v>74</v>
      </c>
      <c r="D3" s="110">
        <f>IF(D2="-","-",D57)</f>
        <v>0.53529166666666672</v>
      </c>
      <c r="E3" s="110">
        <f t="shared" ref="E3:I3" si="0">IF(E2="-","-",E57)</f>
        <v>0.41529166666666667</v>
      </c>
      <c r="F3" s="110">
        <f t="shared" si="0"/>
        <v>0.62966666666666671</v>
      </c>
      <c r="G3" s="110">
        <f t="shared" si="0"/>
        <v>0.56779166666666658</v>
      </c>
      <c r="H3" s="110">
        <f t="shared" si="0"/>
        <v>0.58341666666666669</v>
      </c>
      <c r="I3" s="110">
        <f t="shared" si="0"/>
        <v>0.57716666666666661</v>
      </c>
    </row>
    <row r="4" spans="1:11" ht="18" customHeight="1" x14ac:dyDescent="0.2">
      <c r="A4" s="17" t="str">
        <f>OVERALL!A4</f>
        <v>QUALITY SCORE</v>
      </c>
      <c r="B4" s="38">
        <f>IF(C2=0, "-", IF(COUNTIF(D39:I39, "n")=C2, "-", IF(COUNT(D4:I4)=0, "-", AVERAGE(D4:I4))))</f>
        <v>0.56458333333333344</v>
      </c>
      <c r="C4" s="59" t="s">
        <v>1</v>
      </c>
      <c r="D4" s="38">
        <f>IF(D48&lt;0%,0%,IF(D$2="-","-",IF(D$39="n", "-", SUM(D$6,D$12,D$17,D$23,D$28,D$34))))</f>
        <v>0.5541666666666667</v>
      </c>
      <c r="E4" s="38">
        <f t="shared" ref="E4:I4" si="1">IF(E48&lt;0%,0%,IF(E$2="-","-",IF(E$39="n", "-", SUM(E$6,E$12,E$17,E$23,E$28,E$34))))</f>
        <v>0.39166666666666672</v>
      </c>
      <c r="F4" s="38">
        <f t="shared" si="1"/>
        <v>0.66666666666666674</v>
      </c>
      <c r="G4" s="38">
        <f t="shared" si="1"/>
        <v>0.59166666666666667</v>
      </c>
      <c r="H4" s="38">
        <f t="shared" si="1"/>
        <v>0.59166666666666667</v>
      </c>
      <c r="I4" s="38">
        <f t="shared" si="1"/>
        <v>0.59166666666666667</v>
      </c>
      <c r="K4" s="12" t="s">
        <v>8</v>
      </c>
    </row>
    <row r="5" spans="1:11" ht="18" customHeight="1" x14ac:dyDescent="0.25">
      <c r="A5" s="58" t="s">
        <v>49</v>
      </c>
      <c r="B5" s="59">
        <f>IF(B6="-","-",AVERAGE(D5:I5))</f>
        <v>0.56458333333333344</v>
      </c>
      <c r="C5" s="59" t="s">
        <v>1</v>
      </c>
      <c r="D5" s="61">
        <f t="shared" ref="D5:I5" si="2">IF(D$2="","",IF(D$39="n", "", SUM(D$6,D$12,D$17,D$23,D$28)))</f>
        <v>0.5541666666666667</v>
      </c>
      <c r="E5" s="61">
        <f t="shared" si="2"/>
        <v>0.39166666666666672</v>
      </c>
      <c r="F5" s="61">
        <f t="shared" si="2"/>
        <v>0.66666666666666674</v>
      </c>
      <c r="G5" s="61">
        <f t="shared" si="2"/>
        <v>0.59166666666666667</v>
      </c>
      <c r="H5" s="61">
        <f t="shared" si="2"/>
        <v>0.59166666666666667</v>
      </c>
      <c r="I5" s="61">
        <f t="shared" si="2"/>
        <v>0.59166666666666667</v>
      </c>
      <c r="K5" s="7" t="s">
        <v>17</v>
      </c>
    </row>
    <row r="6" spans="1:11" ht="18" customHeight="1" x14ac:dyDescent="0.2">
      <c r="A6" s="20" t="str">
        <f>OVERALL!A6</f>
        <v>ENGAGE</v>
      </c>
      <c r="B6" s="21">
        <f>IF(C11=0,"-",AVERAGE(B7:B10))</f>
        <v>0.45833333333333331</v>
      </c>
      <c r="C6" s="62" t="s">
        <v>0</v>
      </c>
      <c r="D6" s="28">
        <f>IF(D11=0,"-",(COUNTIF(D7:D10, "y")/D11)*OVERALL!$C$6)</f>
        <v>0.1</v>
      </c>
      <c r="E6" s="28">
        <f>IF(E11=0,"-",(COUNTIF(E7:E10, "y")/E11)*OVERALL!$C$6)</f>
        <v>0.05</v>
      </c>
      <c r="F6" s="28">
        <f>IF(F11=0,"-",(COUNTIF(F7:F10, "y")/F11)*OVERALL!$C$6)</f>
        <v>0.1</v>
      </c>
      <c r="G6" s="28">
        <f>IF(G11=0,"-",(COUNTIF(G7:G10, "y")/G11)*OVERALL!$C$6)</f>
        <v>0.05</v>
      </c>
      <c r="H6" s="28">
        <f>IF(H11=0,"-",(COUNTIF(H7:H10, "y")/H11)*OVERALL!$C$6)</f>
        <v>0.1</v>
      </c>
      <c r="I6" s="28">
        <f>IF(I11=0,"-",(COUNTIF(I7:I10, "y")/I11)*OVERALL!$C$6)</f>
        <v>0.15000000000000002</v>
      </c>
    </row>
    <row r="7" spans="1:11" ht="18" customHeight="1" x14ac:dyDescent="0.2">
      <c r="A7" s="33" t="str">
        <f>OVERALL!A7</f>
        <v>WELCOME</v>
      </c>
      <c r="B7" s="3">
        <f>IF(C7=0,"-",COUNTIF(D7:I7,"y")/C7)</f>
        <v>1</v>
      </c>
      <c r="C7" s="26">
        <f>$C$2-COUNTIF(D7:I7, "-")</f>
        <v>6</v>
      </c>
      <c r="D7" s="306" t="s">
        <v>123</v>
      </c>
      <c r="E7" s="298" t="s">
        <v>123</v>
      </c>
      <c r="F7" s="294" t="s">
        <v>123</v>
      </c>
      <c r="G7" s="292" t="s">
        <v>123</v>
      </c>
      <c r="H7" s="300" t="s">
        <v>123</v>
      </c>
      <c r="I7" s="303" t="s">
        <v>123</v>
      </c>
      <c r="K7" s="11" t="s">
        <v>2</v>
      </c>
    </row>
    <row r="8" spans="1:11" ht="18" customHeight="1" x14ac:dyDescent="0.25">
      <c r="A8" s="33" t="str">
        <f>OVERALL!A8</f>
        <v>INTENT</v>
      </c>
      <c r="B8" s="3">
        <f>IF(C8=0,"-",COUNTIF(D8:I8,"y")/C8)</f>
        <v>0.33333333333333331</v>
      </c>
      <c r="C8" s="26">
        <f>$C$2-COUNTIF(D8:I8, "-")</f>
        <v>6</v>
      </c>
      <c r="D8" s="306" t="s">
        <v>122</v>
      </c>
      <c r="E8" s="298" t="s">
        <v>122</v>
      </c>
      <c r="F8" s="294" t="s">
        <v>123</v>
      </c>
      <c r="G8" s="292" t="s">
        <v>122</v>
      </c>
      <c r="H8" s="300" t="s">
        <v>122</v>
      </c>
      <c r="I8" s="303" t="s">
        <v>123</v>
      </c>
      <c r="K8" s="7" t="s">
        <v>16</v>
      </c>
    </row>
    <row r="9" spans="1:11" ht="18" customHeight="1" x14ac:dyDescent="0.2">
      <c r="A9" s="33" t="str">
        <f>OVERALL!A9</f>
        <v>NAME</v>
      </c>
      <c r="B9" s="3">
        <f>IF(C9=0,"-",COUNTIF(D9:I9,"y")/C9)</f>
        <v>0.5</v>
      </c>
      <c r="C9" s="26">
        <f>$C$2-COUNTIF(D9:I9, "-")</f>
        <v>6</v>
      </c>
      <c r="D9" s="306" t="s">
        <v>123</v>
      </c>
      <c r="E9" s="298" t="s">
        <v>122</v>
      </c>
      <c r="F9" s="294" t="s">
        <v>122</v>
      </c>
      <c r="G9" s="292" t="s">
        <v>122</v>
      </c>
      <c r="H9" s="300" t="s">
        <v>123</v>
      </c>
      <c r="I9" s="303" t="s">
        <v>123</v>
      </c>
      <c r="K9" t="s">
        <v>1</v>
      </c>
    </row>
    <row r="10" spans="1:11" ht="18" customHeight="1" x14ac:dyDescent="0.2">
      <c r="A10" s="33" t="str">
        <f>OVERALL!A10</f>
        <v>BRIDGE</v>
      </c>
      <c r="B10" s="3">
        <f>IF(C10=0,"-",COUNTIF(D10:I10,"y")/C10)</f>
        <v>0</v>
      </c>
      <c r="C10" s="26">
        <f>$C$2-COUNTIF(D10:I10, "-")</f>
        <v>6</v>
      </c>
      <c r="D10" s="306" t="s">
        <v>122</v>
      </c>
      <c r="E10" s="298" t="s">
        <v>122</v>
      </c>
      <c r="F10" s="294" t="s">
        <v>122</v>
      </c>
      <c r="G10" s="292" t="s">
        <v>122</v>
      </c>
      <c r="H10" s="300" t="s">
        <v>122</v>
      </c>
      <c r="I10" s="303"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4"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4" t="s">
        <v>123</v>
      </c>
      <c r="G14" s="292" t="s">
        <v>123</v>
      </c>
      <c r="H14" s="300" t="s">
        <v>123</v>
      </c>
      <c r="I14" s="303" t="s">
        <v>123</v>
      </c>
      <c r="K14" s="9" t="s">
        <v>14</v>
      </c>
    </row>
    <row r="15" spans="1:11" ht="18" customHeight="1" x14ac:dyDescent="0.2">
      <c r="A15" s="33" t="str">
        <f>OVERALL!A15</f>
        <v>CONFIRM</v>
      </c>
      <c r="B15" s="3">
        <f>IF(C15=0,"-",COUNTIF(D15:I15,"y")/C15)</f>
        <v>0</v>
      </c>
      <c r="C15" s="26">
        <f>$C$2-COUNTIF(D15:I15, "-")</f>
        <v>6</v>
      </c>
      <c r="D15" s="306" t="s">
        <v>122</v>
      </c>
      <c r="E15" s="298" t="s">
        <v>122</v>
      </c>
      <c r="F15" s="294" t="s">
        <v>122</v>
      </c>
      <c r="G15" s="292" t="s">
        <v>122</v>
      </c>
      <c r="H15" s="300" t="s">
        <v>122</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0.625</v>
      </c>
      <c r="C17" s="1" t="s">
        <v>1</v>
      </c>
      <c r="D17" s="29">
        <f>IF(D22=0,"-",(COUNTIF(D18:D21, "y")/D22)*OVERALL!$C$17)</f>
        <v>0.1875</v>
      </c>
      <c r="E17" s="29">
        <f>IF(E22=0,"-",(COUNTIF(E18:E21, "y")/E22)*OVERALL!$C$17)</f>
        <v>0.125</v>
      </c>
      <c r="F17" s="29">
        <f>IF(F22=0,"-",(COUNTIF(F18:F21, "y")/F22)*OVERALL!$C$17)</f>
        <v>0.25</v>
      </c>
      <c r="G17" s="29">
        <f>IF(G22=0,"-",(COUNTIF(G18:G21, "y")/G22)*OVERALL!$C$17)</f>
        <v>0.125</v>
      </c>
      <c r="H17" s="29">
        <f>IF(H22=0,"-",(COUNTIF(H18:H21, "y")/H22)*OVERALL!$C$17)</f>
        <v>0.125</v>
      </c>
      <c r="I17" s="29">
        <f>IF(I22=0,"-",(COUNTIF(I18:I21, "y")/I22)*OVERALL!$C$17)</f>
        <v>0.125</v>
      </c>
      <c r="K17" s="9" t="s">
        <v>6</v>
      </c>
    </row>
    <row r="18" spans="1:14" ht="18" customHeight="1" x14ac:dyDescent="0.2">
      <c r="A18" s="33" t="str">
        <f>OVERALL!A18</f>
        <v>INFORM</v>
      </c>
      <c r="B18" s="3">
        <f>IF(C18=0,"-",COUNTIF(D18:I18,"y")/C18)</f>
        <v>0.33333333333333331</v>
      </c>
      <c r="C18" s="26">
        <f>$C$2-COUNTIF(D18:I18, "-")</f>
        <v>6</v>
      </c>
      <c r="D18" s="306" t="s">
        <v>122</v>
      </c>
      <c r="E18" s="298" t="s">
        <v>122</v>
      </c>
      <c r="F18" s="294" t="s">
        <v>123</v>
      </c>
      <c r="G18" s="292" t="s">
        <v>123</v>
      </c>
      <c r="H18" s="300" t="s">
        <v>122</v>
      </c>
      <c r="I18" s="303" t="s">
        <v>122</v>
      </c>
    </row>
    <row r="19" spans="1:14" ht="18" customHeight="1" x14ac:dyDescent="0.2">
      <c r="A19" s="33" t="str">
        <f>OVERALL!A19</f>
        <v>CHECK</v>
      </c>
      <c r="B19" s="3">
        <f>IF(C19=0,"-",COUNTIF(D19:I19,"y")/C19)</f>
        <v>0.33333333333333331</v>
      </c>
      <c r="C19" s="26">
        <f>$C$2-COUNTIF(D19:I19, "-")</f>
        <v>6</v>
      </c>
      <c r="D19" s="306" t="s">
        <v>123</v>
      </c>
      <c r="E19" s="298" t="s">
        <v>122</v>
      </c>
      <c r="F19" s="294" t="s">
        <v>123</v>
      </c>
      <c r="G19" s="292" t="s">
        <v>122</v>
      </c>
      <c r="H19" s="300" t="s">
        <v>122</v>
      </c>
      <c r="I19" s="303" t="s">
        <v>122</v>
      </c>
    </row>
    <row r="20" spans="1:14" ht="18" customHeight="1" x14ac:dyDescent="0.2">
      <c r="A20" s="33" t="str">
        <f>OVERALL!A20</f>
        <v>SEEK</v>
      </c>
      <c r="B20" s="3">
        <f>IF(C20=0,"-",COUNTIF(D20:I20,"y")/C20)</f>
        <v>0.83333333333333337</v>
      </c>
      <c r="C20" s="26">
        <f>$C$2-COUNTIF(D20:I20, "-")</f>
        <v>6</v>
      </c>
      <c r="D20" s="306" t="s">
        <v>123</v>
      </c>
      <c r="E20" s="298" t="s">
        <v>123</v>
      </c>
      <c r="F20" s="294" t="s">
        <v>123</v>
      </c>
      <c r="G20" s="292" t="s">
        <v>122</v>
      </c>
      <c r="H20" s="300" t="s">
        <v>123</v>
      </c>
      <c r="I20" s="303" t="s">
        <v>123</v>
      </c>
      <c r="K20" t="s">
        <v>1</v>
      </c>
    </row>
    <row r="21" spans="1:14" ht="18" customHeight="1" x14ac:dyDescent="0.2">
      <c r="A21" s="33" t="str">
        <f>OVERALL!A21</f>
        <v>CONFIDENCE</v>
      </c>
      <c r="B21" s="3">
        <f>IF(C21=0,"-",COUNTIF(D21:I21,"y")/C21)</f>
        <v>1</v>
      </c>
      <c r="C21" s="26">
        <f>$C$2-COUNTIF(D21:I21, "-")</f>
        <v>6</v>
      </c>
      <c r="D21" s="306" t="s">
        <v>123</v>
      </c>
      <c r="E21" s="298" t="s">
        <v>123</v>
      </c>
      <c r="F21" s="294"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0.15</v>
      </c>
      <c r="E23" s="29">
        <f>IF(E27=0,"-",(COUNTIF(E24:E26, "y")/E27)*OVERALL!$C$23)</f>
        <v>4.9999999999999996E-2</v>
      </c>
      <c r="F23" s="29">
        <f>IF(F27=0,"-",(COUNTIF(F24:F26, "y")/F27)*OVERALL!$C$23)</f>
        <v>4.9999999999999996E-2</v>
      </c>
      <c r="G23" s="29">
        <f>IF(G27=0,"-",(COUNTIF(G24:G26, "y")/G27)*OVERALL!$C$23)</f>
        <v>0.15</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0.83333333333333337</v>
      </c>
      <c r="C24" s="26">
        <f>$C$2-COUNTIF(D24:I24, "-")</f>
        <v>6</v>
      </c>
      <c r="D24" s="306" t="s">
        <v>123</v>
      </c>
      <c r="E24" s="298" t="s">
        <v>122</v>
      </c>
      <c r="F24" s="294" t="s">
        <v>123</v>
      </c>
      <c r="G24" s="292" t="s">
        <v>123</v>
      </c>
      <c r="H24" s="300" t="s">
        <v>123</v>
      </c>
      <c r="I24" s="303" t="s">
        <v>123</v>
      </c>
    </row>
    <row r="25" spans="1:14" ht="18" customHeight="1" x14ac:dyDescent="0.2">
      <c r="A25" s="33" t="str">
        <f>OVERALL!A25</f>
        <v>GRATITUDE</v>
      </c>
      <c r="B25" s="3">
        <f>IF(C25=0,"-",COUNTIF(D25:I25,"y")/C25)</f>
        <v>0.5</v>
      </c>
      <c r="C25" s="26">
        <f>$C$2-COUNTIF(D25:I25, "-")</f>
        <v>6</v>
      </c>
      <c r="D25" s="306" t="s">
        <v>123</v>
      </c>
      <c r="E25" s="298" t="s">
        <v>122</v>
      </c>
      <c r="F25" s="294" t="s">
        <v>122</v>
      </c>
      <c r="G25" s="292" t="s">
        <v>123</v>
      </c>
      <c r="H25" s="300" t="s">
        <v>122</v>
      </c>
      <c r="I25" s="303" t="s">
        <v>123</v>
      </c>
    </row>
    <row r="26" spans="1:14" ht="18" customHeight="1" x14ac:dyDescent="0.2">
      <c r="A26" s="33" t="str">
        <f>OVERALL!A26</f>
        <v>THANKS</v>
      </c>
      <c r="B26" s="3">
        <f>IF(C26=0,"-",COUNTIF(D26:I26,"y")/C26)</f>
        <v>0.66666666666666663</v>
      </c>
      <c r="C26" s="26">
        <f>$C$2-COUNTIF(D26:I26, "-")</f>
        <v>6</v>
      </c>
      <c r="D26" s="306" t="s">
        <v>123</v>
      </c>
      <c r="E26" s="298" t="s">
        <v>123</v>
      </c>
      <c r="F26" s="294" t="s">
        <v>122</v>
      </c>
      <c r="G26" s="292" t="s">
        <v>123</v>
      </c>
      <c r="H26" s="300" t="s">
        <v>123</v>
      </c>
      <c r="I26" s="303"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0.75</v>
      </c>
      <c r="C28" s="1" t="s">
        <v>1</v>
      </c>
      <c r="D28" s="29">
        <f>IF(D33=0,"-",(COUNTIF(D29:D32, "y")/D33)*OVERALL!$C$28)</f>
        <v>0.05</v>
      </c>
      <c r="E28" s="29">
        <f>IF(E33=0,"-",(COUNTIF(E29:E32, "y")/E33)*OVERALL!$C$28)</f>
        <v>0.1</v>
      </c>
      <c r="F28" s="29">
        <f>IF(F33=0,"-",(COUNTIF(F29:F32, "y")/F33)*OVERALL!$C$28)</f>
        <v>0.2</v>
      </c>
      <c r="G28" s="29">
        <f>IF(G33=0,"-",(COUNTIF(G29:G32, "y")/G33)*OVERALL!$C$28)</f>
        <v>0.2</v>
      </c>
      <c r="H28" s="29">
        <f>IF(H33=0,"-",(COUNTIF(H29:H32, "y")/H33)*OVERALL!$C$28)</f>
        <v>0.2</v>
      </c>
      <c r="I28" s="29">
        <f>IF(I33=0,"-",(COUNTIF(I29:I32, "y")/I33)*OVERALL!$C$28)</f>
        <v>0.15000000000000002</v>
      </c>
    </row>
    <row r="29" spans="1:14" ht="18" customHeight="1" x14ac:dyDescent="0.2">
      <c r="A29" s="33" t="str">
        <f>OVERALL!A29</f>
        <v>VIBRANCY</v>
      </c>
      <c r="B29" s="3">
        <f>IF(C29=0,"-",COUNTIF(D29:I29,"y")/C29)</f>
        <v>1</v>
      </c>
      <c r="C29" s="26">
        <f>$C$2-COUNTIF(D29:I29, "-")</f>
        <v>6</v>
      </c>
      <c r="D29" s="306" t="s">
        <v>123</v>
      </c>
      <c r="E29" s="298" t="s">
        <v>123</v>
      </c>
      <c r="F29" s="294" t="s">
        <v>123</v>
      </c>
      <c r="G29" s="292" t="s">
        <v>123</v>
      </c>
      <c r="H29" s="300" t="s">
        <v>123</v>
      </c>
      <c r="I29" s="303" t="s">
        <v>123</v>
      </c>
    </row>
    <row r="30" spans="1:14" ht="18" customHeight="1" x14ac:dyDescent="0.2">
      <c r="A30" s="33" t="str">
        <f>OVERALL!A30</f>
        <v>EMPATHY</v>
      </c>
      <c r="B30" s="3">
        <f>IF(C30=0,"-",COUNTIF(D30:I30,"y")/C30)</f>
        <v>0.83333333333333337</v>
      </c>
      <c r="C30" s="26">
        <f>$C$2-COUNTIF(D30:I30, "-")</f>
        <v>6</v>
      </c>
      <c r="D30" s="306" t="s">
        <v>122</v>
      </c>
      <c r="E30" s="298" t="s">
        <v>123</v>
      </c>
      <c r="F30" s="294" t="s">
        <v>123</v>
      </c>
      <c r="G30" s="292" t="s">
        <v>123</v>
      </c>
      <c r="H30" s="300" t="s">
        <v>123</v>
      </c>
      <c r="I30" s="303" t="s">
        <v>123</v>
      </c>
    </row>
    <row r="31" spans="1:14" ht="18" customHeight="1" x14ac:dyDescent="0.2">
      <c r="A31" s="33" t="str">
        <f>OVERALL!A31</f>
        <v>CONTROL</v>
      </c>
      <c r="B31" s="3">
        <f>IF(C31=0,"-",COUNTIF(D31:I31,"y")/C31)</f>
        <v>0.5</v>
      </c>
      <c r="C31" s="26">
        <f>$C$2-COUNTIF(D31:I31, "-")</f>
        <v>6</v>
      </c>
      <c r="D31" s="306" t="s">
        <v>122</v>
      </c>
      <c r="E31" s="298" t="s">
        <v>122</v>
      </c>
      <c r="F31" s="294" t="s">
        <v>123</v>
      </c>
      <c r="G31" s="292" t="s">
        <v>123</v>
      </c>
      <c r="H31" s="300" t="s">
        <v>123</v>
      </c>
      <c r="I31" s="303" t="s">
        <v>122</v>
      </c>
    </row>
    <row r="32" spans="1:14" ht="18" customHeight="1" x14ac:dyDescent="0.2">
      <c r="A32" s="33" t="str">
        <f>OVERALL!A32</f>
        <v>CLARITY</v>
      </c>
      <c r="B32" s="3">
        <f>IF(C32=0,"-",COUNTIF(D32:I32,"y")/C32)</f>
        <v>0.66666666666666663</v>
      </c>
      <c r="C32" s="26">
        <f>$C$2-COUNTIF(D32:I32, "-")</f>
        <v>6</v>
      </c>
      <c r="D32" s="306" t="s">
        <v>122</v>
      </c>
      <c r="E32" s="298" t="s">
        <v>122</v>
      </c>
      <c r="F32" s="294" t="s">
        <v>123</v>
      </c>
      <c r="G32" s="292" t="s">
        <v>123</v>
      </c>
      <c r="H32" s="300" t="s">
        <v>123</v>
      </c>
      <c r="I32" s="303"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6" t="s">
        <v>122</v>
      </c>
      <c r="E35" s="298" t="s">
        <v>122</v>
      </c>
      <c r="F35" s="294"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v>
      </c>
      <c r="C36" s="26">
        <f>$C$2-COUNTIF(D36:I36, "-")</f>
        <v>6</v>
      </c>
      <c r="D36" s="306" t="s">
        <v>122</v>
      </c>
      <c r="E36" s="298" t="s">
        <v>122</v>
      </c>
      <c r="F36" s="294"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4" t="s">
        <v>123</v>
      </c>
      <c r="G39" s="292" t="s">
        <v>123</v>
      </c>
      <c r="H39" s="300" t="s">
        <v>123</v>
      </c>
      <c r="I39" s="303" t="s">
        <v>123</v>
      </c>
    </row>
    <row r="40" spans="1:16" ht="18" customHeight="1" x14ac:dyDescent="0.2">
      <c r="A40" s="33" t="str">
        <f>OVERALL!A40</f>
        <v>TALK TIME</v>
      </c>
      <c r="B40" s="282">
        <f>IF(C40=0,"-",AVERAGE(D40:I40))</f>
        <v>4.9768518518518512E-3</v>
      </c>
      <c r="C40" s="26">
        <f t="shared" si="10"/>
        <v>6</v>
      </c>
      <c r="D40" s="286">
        <v>8.4375000000000006E-3</v>
      </c>
      <c r="E40" s="289">
        <v>5.7523148148148151E-3</v>
      </c>
      <c r="F40" s="286">
        <v>5.7870370370370367E-3</v>
      </c>
      <c r="G40" s="286">
        <v>3.6689814814814814E-3</v>
      </c>
      <c r="H40" s="286">
        <v>3.0439814814814813E-3</v>
      </c>
      <c r="I40" s="286">
        <v>3.1712962962962962E-3</v>
      </c>
      <c r="J40" s="46"/>
      <c r="K40" s="266"/>
      <c r="L40" s="266"/>
      <c r="M40" s="266"/>
      <c r="N40" s="266"/>
      <c r="O40" s="266"/>
      <c r="P40" s="266"/>
    </row>
    <row r="41" spans="1:16" ht="18" customHeight="1" x14ac:dyDescent="0.2">
      <c r="A41" s="33" t="str">
        <f>OVERALL!A41</f>
        <v>ASSESSOR RATING (0-10)</v>
      </c>
      <c r="B41" s="287">
        <f>IF(C41=0,"-",SUM(D41:I41)/C41)</f>
        <v>5.333333333333333</v>
      </c>
      <c r="C41" s="26">
        <f t="shared" si="10"/>
        <v>6</v>
      </c>
      <c r="D41" s="290">
        <v>5</v>
      </c>
      <c r="E41" s="290">
        <v>4</v>
      </c>
      <c r="F41" s="290">
        <v>6</v>
      </c>
      <c r="G41" s="290">
        <v>6</v>
      </c>
      <c r="H41" s="290">
        <v>5</v>
      </c>
      <c r="I41" s="305">
        <v>6</v>
      </c>
      <c r="J41" s="287"/>
      <c r="K41" s="288"/>
      <c r="L41" s="288"/>
      <c r="M41" s="288"/>
      <c r="N41" s="288"/>
      <c r="O41" s="288"/>
      <c r="P41" s="288"/>
    </row>
    <row r="42" spans="1:16" ht="18" customHeight="1" x14ac:dyDescent="0.2">
      <c r="A42" s="33" t="str">
        <f>OVERALL!A42</f>
        <v>EXPLAINED KEY FEATURES</v>
      </c>
      <c r="B42" s="3">
        <f>IF(C42=0,"-",COUNTIF(D42:I42, "y")/C42)</f>
        <v>0.16666666666666666</v>
      </c>
      <c r="C42" s="26">
        <f t="shared" si="10"/>
        <v>6</v>
      </c>
      <c r="D42" s="306" t="s">
        <v>122</v>
      </c>
      <c r="E42" s="298" t="s">
        <v>122</v>
      </c>
      <c r="F42" s="294" t="s">
        <v>123</v>
      </c>
      <c r="G42" s="292" t="s">
        <v>122</v>
      </c>
      <c r="H42" s="300" t="s">
        <v>122</v>
      </c>
      <c r="I42" s="303" t="s">
        <v>122</v>
      </c>
      <c r="J42" s="47"/>
      <c r="K42" t="s">
        <v>1</v>
      </c>
    </row>
    <row r="43" spans="1:16" ht="18" customHeight="1" x14ac:dyDescent="0.2">
      <c r="A43" s="33" t="str">
        <f>OVERALL!A43</f>
        <v>REVEALED PRICING</v>
      </c>
      <c r="B43" s="3">
        <f>IF(C43=0,"-",COUNTIF(D43:I43, "y")/C43)</f>
        <v>1</v>
      </c>
      <c r="C43" s="26">
        <f t="shared" si="10"/>
        <v>6</v>
      </c>
      <c r="D43" s="306" t="s">
        <v>123</v>
      </c>
      <c r="E43" s="298" t="s">
        <v>123</v>
      </c>
      <c r="F43" s="294" t="s">
        <v>123</v>
      </c>
      <c r="G43" s="292" t="s">
        <v>123</v>
      </c>
      <c r="H43" s="300" t="s">
        <v>123</v>
      </c>
      <c r="I43" s="303" t="s">
        <v>123</v>
      </c>
    </row>
    <row r="44" spans="1:16" ht="18" customHeight="1" x14ac:dyDescent="0.2">
      <c r="A44" s="33" t="str">
        <f>OVERALL!A44</f>
        <v>EXPLAINED ACTIONS &amp; PROCESS</v>
      </c>
      <c r="B44" s="3">
        <f>IF(C44=0,"-",COUNTIF(D44:I44, "y")/C44)</f>
        <v>0.5</v>
      </c>
      <c r="C44" s="26">
        <f t="shared" si="10"/>
        <v>6</v>
      </c>
      <c r="D44" s="306" t="s">
        <v>123</v>
      </c>
      <c r="E44" s="298" t="s">
        <v>122</v>
      </c>
      <c r="F44" s="294" t="s">
        <v>123</v>
      </c>
      <c r="G44" s="292" t="s">
        <v>123</v>
      </c>
      <c r="H44" s="300" t="s">
        <v>122</v>
      </c>
      <c r="I44" s="303" t="s">
        <v>122</v>
      </c>
    </row>
    <row r="45" spans="1:16" ht="18" customHeight="1" x14ac:dyDescent="0.2">
      <c r="A45" s="33" t="str">
        <f>OVERALL!A45</f>
        <v>WEBSITE EDUCATION</v>
      </c>
      <c r="B45" s="3">
        <f>IF(C45=0,"-",COUNTIF(D45:I45, "y")/C45)</f>
        <v>0.16666666666666666</v>
      </c>
      <c r="C45" s="26">
        <f t="shared" si="10"/>
        <v>6</v>
      </c>
      <c r="D45" s="306" t="s">
        <v>122</v>
      </c>
      <c r="E45" s="298" t="s">
        <v>122</v>
      </c>
      <c r="F45" s="294" t="s">
        <v>122</v>
      </c>
      <c r="G45" s="292" t="s">
        <v>123</v>
      </c>
      <c r="H45" s="300" t="s">
        <v>122</v>
      </c>
      <c r="I45" s="303" t="s">
        <v>122</v>
      </c>
    </row>
    <row r="46" spans="1:16" ht="18" customHeight="1" x14ac:dyDescent="0.2">
      <c r="A46" s="18"/>
      <c r="B46" s="3"/>
      <c r="C46" s="26"/>
      <c r="D46" s="264"/>
      <c r="E46" s="264"/>
      <c r="F46" s="264"/>
      <c r="G46" s="264"/>
      <c r="H46" s="264"/>
      <c r="I46" s="264"/>
    </row>
    <row r="47" spans="1:16" ht="165" x14ac:dyDescent="0.2">
      <c r="A47" s="25" t="s">
        <v>1</v>
      </c>
      <c r="B47" s="350" t="s">
        <v>36</v>
      </c>
      <c r="C47" s="351"/>
      <c r="D47" s="23" t="s">
        <v>195</v>
      </c>
      <c r="E47" s="23" t="s">
        <v>153</v>
      </c>
      <c r="F47" s="23" t="s">
        <v>139</v>
      </c>
      <c r="G47" s="23" t="s">
        <v>125</v>
      </c>
      <c r="H47" s="23" t="s">
        <v>166</v>
      </c>
      <c r="I47" s="23" t="s">
        <v>182</v>
      </c>
    </row>
    <row r="48" spans="1:16" ht="18" customHeight="1" x14ac:dyDescent="0.2">
      <c r="A48" s="60" t="s">
        <v>48</v>
      </c>
      <c r="D48" s="51">
        <f t="shared" ref="D48:I48" si="11">IF(D$2="","",IF(D$39="n", "", SUM(D$6,D$12,D$17,D$23,D$28,D$34)))</f>
        <v>0.5541666666666667</v>
      </c>
      <c r="E48" s="51">
        <f t="shared" si="11"/>
        <v>0.39166666666666672</v>
      </c>
      <c r="F48" s="51">
        <f t="shared" si="11"/>
        <v>0.66666666666666674</v>
      </c>
      <c r="G48" s="51">
        <f t="shared" si="11"/>
        <v>0.59166666666666667</v>
      </c>
      <c r="H48" s="51">
        <f t="shared" si="11"/>
        <v>0.59166666666666667</v>
      </c>
      <c r="I48" s="51">
        <f t="shared" si="11"/>
        <v>0.59166666666666667</v>
      </c>
    </row>
    <row r="50" spans="1:9" ht="19" x14ac:dyDescent="0.25">
      <c r="A50" s="111" t="s">
        <v>75</v>
      </c>
      <c r="B50" s="91" t="s">
        <v>76</v>
      </c>
    </row>
    <row r="51" spans="1:9" x14ac:dyDescent="0.2">
      <c r="A51" s="112" t="s">
        <v>64</v>
      </c>
      <c r="B51" s="113">
        <v>0.3</v>
      </c>
      <c r="C51" s="112"/>
      <c r="D51" s="257">
        <f>[1]AGL!D$4</f>
        <v>0.49125000000000008</v>
      </c>
      <c r="E51" s="257">
        <f>[1]AGL!E$4</f>
        <v>0.47041666666666671</v>
      </c>
      <c r="F51" s="257">
        <f>[1]AGL!F$4</f>
        <v>0.54333333333333333</v>
      </c>
      <c r="G51" s="257">
        <f>[1]AGL!G$4</f>
        <v>0.51208333333333333</v>
      </c>
      <c r="H51" s="257">
        <f>[1]AGL!H$4</f>
        <v>0.56416666666666671</v>
      </c>
      <c r="I51" s="257">
        <f>[1]AGL!I$4</f>
        <v>0.54333333333333333</v>
      </c>
    </row>
    <row r="52" spans="1:9" x14ac:dyDescent="0.2">
      <c r="A52" s="112" t="s">
        <v>65</v>
      </c>
      <c r="B52" s="113">
        <v>0.7</v>
      </c>
      <c r="C52" s="112"/>
      <c r="D52" s="258">
        <f t="shared" ref="D52:I52" si="12">D4</f>
        <v>0.5541666666666667</v>
      </c>
      <c r="E52" s="258">
        <f t="shared" si="12"/>
        <v>0.39166666666666672</v>
      </c>
      <c r="F52" s="258">
        <f t="shared" si="12"/>
        <v>0.66666666666666674</v>
      </c>
      <c r="G52" s="258">
        <f t="shared" si="12"/>
        <v>0.59166666666666667</v>
      </c>
      <c r="H52" s="258">
        <f t="shared" si="12"/>
        <v>0.59166666666666667</v>
      </c>
      <c r="I52" s="258">
        <f t="shared" si="12"/>
        <v>0.59166666666666667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0.14737500000000001</v>
      </c>
      <c r="E55" s="258">
        <f t="shared" ref="E55:I55" si="13">IF(E51="-","-",E51*$B$51)</f>
        <v>0.141125</v>
      </c>
      <c r="F55" s="258">
        <f t="shared" si="13"/>
        <v>0.16300000000000001</v>
      </c>
      <c r="G55" s="258">
        <f t="shared" si="13"/>
        <v>0.15362499999999998</v>
      </c>
      <c r="H55" s="258">
        <f t="shared" si="13"/>
        <v>0.16925000000000001</v>
      </c>
      <c r="I55" s="258">
        <f t="shared" si="13"/>
        <v>0.16300000000000001</v>
      </c>
    </row>
    <row r="56" spans="1:9" x14ac:dyDescent="0.2">
      <c r="A56" s="112" t="s">
        <v>65</v>
      </c>
      <c r="B56" s="112"/>
      <c r="C56" s="112"/>
      <c r="D56" s="258">
        <f t="shared" ref="D56:I56" si="14">IF(D52="-","-",D52*$B$52)</f>
        <v>0.38791666666666669</v>
      </c>
      <c r="E56" s="258">
        <f t="shared" si="14"/>
        <v>0.27416666666666667</v>
      </c>
      <c r="F56" s="258">
        <f t="shared" si="14"/>
        <v>0.46666666666666667</v>
      </c>
      <c r="G56" s="258">
        <f t="shared" si="14"/>
        <v>0.41416666666666663</v>
      </c>
      <c r="H56" s="258">
        <f t="shared" si="14"/>
        <v>0.41416666666666663</v>
      </c>
      <c r="I56" s="258">
        <f t="shared" si="14"/>
        <v>0.41416666666666663</v>
      </c>
    </row>
    <row r="57" spans="1:9" x14ac:dyDescent="0.2">
      <c r="A57" s="115" t="s">
        <v>60</v>
      </c>
      <c r="B57" s="115"/>
      <c r="C57" s="115"/>
      <c r="D57" s="116">
        <f t="shared" ref="D57:I57" si="15">IF(D51="","",IF(D52="","",SUM(D55:D56)))</f>
        <v>0.53529166666666672</v>
      </c>
      <c r="E57" s="116">
        <f t="shared" si="15"/>
        <v>0.41529166666666667</v>
      </c>
      <c r="F57" s="116">
        <f t="shared" si="15"/>
        <v>0.62966666666666671</v>
      </c>
      <c r="G57" s="116">
        <f t="shared" si="15"/>
        <v>0.56779166666666658</v>
      </c>
      <c r="H57" s="116">
        <f t="shared" si="15"/>
        <v>0.58341666666666669</v>
      </c>
      <c r="I57" s="116">
        <f t="shared" si="15"/>
        <v>0.57716666666666661</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7" activePane="bottomRight" state="frozen"/>
      <selection activeCell="G47" sqref="G47"/>
      <selection pane="topRight" activeCell="G47" sqref="G47"/>
      <selection pane="bottomLeft" activeCell="G47" sqref="G47"/>
      <selection pane="bottomRight" activeCell="H48" sqref="H4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196</v>
      </c>
      <c r="E2" s="297" t="s">
        <v>154</v>
      </c>
      <c r="F2" s="295" t="s">
        <v>140</v>
      </c>
      <c r="G2" s="293" t="s">
        <v>126</v>
      </c>
      <c r="H2" s="301" t="s">
        <v>167</v>
      </c>
      <c r="I2" s="304" t="s">
        <v>181</v>
      </c>
    </row>
    <row r="3" spans="1:11" ht="19" x14ac:dyDescent="0.2">
      <c r="A3" s="32" t="str">
        <f>OVERALL!E1</f>
        <v>ALINTA</v>
      </c>
      <c r="B3" s="249">
        <f>OVERALL!E3</f>
        <v>0.65806448412698404</v>
      </c>
      <c r="C3" s="109" t="s">
        <v>74</v>
      </c>
      <c r="D3" s="110">
        <f>IF(D2="-","-",D57)</f>
        <v>0.70716666666666661</v>
      </c>
      <c r="E3" s="110">
        <f t="shared" ref="E3:I3" si="0">IF(E2="-","-",E57)</f>
        <v>0.61904166666666671</v>
      </c>
      <c r="F3" s="110">
        <f t="shared" si="0"/>
        <v>0.63151190476190466</v>
      </c>
      <c r="G3" s="110">
        <f t="shared" si="0"/>
        <v>0.67279166666666657</v>
      </c>
      <c r="H3" s="110">
        <f t="shared" si="0"/>
        <v>0.74133333333333318</v>
      </c>
      <c r="I3" s="110">
        <f t="shared" si="0"/>
        <v>0.57654166666666662</v>
      </c>
    </row>
    <row r="4" spans="1:11" ht="18" customHeight="1" x14ac:dyDescent="0.2">
      <c r="A4" s="17" t="str">
        <f>OVERALL!A4</f>
        <v>QUALITY SCORE</v>
      </c>
      <c r="B4" s="38">
        <f>IF(C2=0, "-", IF(COUNTIF(D39:I39, "n")=C2, "-", IF(COUNT(D4:I4)=0, "-", AVERAGE(D4:I4))))</f>
        <v>0.66597222222222208</v>
      </c>
      <c r="C4" s="59" t="s">
        <v>1</v>
      </c>
      <c r="D4" s="38">
        <f>IF(D48&lt;0%,0%,IF(D$2="-","-",IF(D$39="n", "-", SUM(D$6,D$12,D$17,D$23,D$28,D$34))))</f>
        <v>0.70416666666666672</v>
      </c>
      <c r="E4" s="38">
        <f t="shared" ref="E4:I4" si="1">IF(E48&lt;0%,0%,IF(E$2="-","-",IF(E$39="n", "-", SUM(E$6,E$12,E$17,E$23,E$28,E$34))))</f>
        <v>0.60416666666666674</v>
      </c>
      <c r="F4" s="38">
        <f t="shared" si="1"/>
        <v>0.77083333333333326</v>
      </c>
      <c r="G4" s="38">
        <f t="shared" si="1"/>
        <v>0.64166666666666661</v>
      </c>
      <c r="H4" s="38">
        <f t="shared" si="1"/>
        <v>0.77083333333333326</v>
      </c>
      <c r="I4" s="38">
        <f t="shared" si="1"/>
        <v>0.50416666666666665</v>
      </c>
      <c r="K4" s="12" t="s">
        <v>8</v>
      </c>
    </row>
    <row r="5" spans="1:11" ht="18" customHeight="1" x14ac:dyDescent="0.25">
      <c r="A5" s="58" t="s">
        <v>49</v>
      </c>
      <c r="B5" s="59">
        <f>IF(B6="-","-",AVERAGE(D5:I5))</f>
        <v>0.66597222222222208</v>
      </c>
      <c r="C5" s="59" t="s">
        <v>1</v>
      </c>
      <c r="D5" s="61">
        <f t="shared" ref="D5:I5" si="2">IF(D$2="","",IF(D$39="n", "", SUM(D$6,D$12,D$17,D$23,D$28)))</f>
        <v>0.70416666666666672</v>
      </c>
      <c r="E5" s="61">
        <f t="shared" si="2"/>
        <v>0.60416666666666674</v>
      </c>
      <c r="F5" s="61">
        <f t="shared" si="2"/>
        <v>0.77083333333333326</v>
      </c>
      <c r="G5" s="61">
        <f t="shared" si="2"/>
        <v>0.64166666666666661</v>
      </c>
      <c r="H5" s="61">
        <f t="shared" si="2"/>
        <v>0.77083333333333326</v>
      </c>
      <c r="I5" s="61">
        <f t="shared" si="2"/>
        <v>0.50416666666666665</v>
      </c>
      <c r="K5" s="7" t="s">
        <v>17</v>
      </c>
    </row>
    <row r="6" spans="1:11" ht="18" customHeight="1" x14ac:dyDescent="0.2">
      <c r="A6" s="20" t="str">
        <f>OVERALL!A6</f>
        <v>ENGAGE</v>
      </c>
      <c r="B6" s="21">
        <f>IF(C11=0,"-",AVERAGE(B7:B10))</f>
        <v>0.625</v>
      </c>
      <c r="C6" s="62" t="s">
        <v>0</v>
      </c>
      <c r="D6" s="28">
        <f>IF(D11=0,"-",(COUNTIF(D7:D10, "y")/D11)*OVERALL!$C$6)</f>
        <v>0.2</v>
      </c>
      <c r="E6" s="28">
        <f>IF(E11=0,"-",(COUNTIF(E7:E10, "y")/E11)*OVERALL!$C$6)</f>
        <v>0.1</v>
      </c>
      <c r="F6" s="28">
        <f>IF(F11=0,"-",(COUNTIF(F7:F10, "y")/F11)*OVERALL!$C$6)</f>
        <v>0.15000000000000002</v>
      </c>
      <c r="G6" s="28">
        <f>IF(G11=0,"-",(COUNTIF(G7:G10, "y")/G11)*OVERALL!$C$6)</f>
        <v>0.1</v>
      </c>
      <c r="H6" s="28">
        <f>IF(H11=0,"-",(COUNTIF(H7:H10, "y")/H11)*OVERALL!$C$6)</f>
        <v>0.1</v>
      </c>
      <c r="I6" s="28">
        <f>IF(I11=0,"-",(COUNTIF(I7:I10, "y")/I11)*OVERALL!$C$6)</f>
        <v>0.1</v>
      </c>
    </row>
    <row r="7" spans="1:11" ht="18" customHeight="1" x14ac:dyDescent="0.2">
      <c r="A7" s="33" t="str">
        <f>OVERALL!A7</f>
        <v>WELCOME</v>
      </c>
      <c r="B7" s="3">
        <f>IF(C7=0,"-",COUNTIF(D7:I7,"y")/C7)</f>
        <v>1</v>
      </c>
      <c r="C7" s="26">
        <f>$C$2-COUNTIF(D7:I7, "-")</f>
        <v>6</v>
      </c>
      <c r="D7" s="306" t="s">
        <v>123</v>
      </c>
      <c r="E7" s="298" t="s">
        <v>123</v>
      </c>
      <c r="F7" s="294" t="s">
        <v>123</v>
      </c>
      <c r="G7" s="292" t="s">
        <v>123</v>
      </c>
      <c r="H7" s="300" t="s">
        <v>123</v>
      </c>
      <c r="I7" s="303" t="s">
        <v>123</v>
      </c>
      <c r="K7" s="11" t="s">
        <v>2</v>
      </c>
    </row>
    <row r="8" spans="1:11" ht="18" customHeight="1" x14ac:dyDescent="0.25">
      <c r="A8" s="33" t="str">
        <f>OVERALL!A8</f>
        <v>INTENT</v>
      </c>
      <c r="B8" s="3">
        <f>IF(C8=0,"-",COUNTIF(D8:I8,"y")/C8)</f>
        <v>0.83333333333333337</v>
      </c>
      <c r="C8" s="26">
        <f>$C$2-COUNTIF(D8:I8, "-")</f>
        <v>6</v>
      </c>
      <c r="D8" s="306" t="s">
        <v>123</v>
      </c>
      <c r="E8" s="298" t="s">
        <v>123</v>
      </c>
      <c r="F8" s="294" t="s">
        <v>123</v>
      </c>
      <c r="G8" s="292" t="s">
        <v>123</v>
      </c>
      <c r="H8" s="300" t="s">
        <v>123</v>
      </c>
      <c r="I8" s="303" t="s">
        <v>122</v>
      </c>
      <c r="K8" s="7" t="s">
        <v>16</v>
      </c>
    </row>
    <row r="9" spans="1:11" ht="18" customHeight="1" x14ac:dyDescent="0.2">
      <c r="A9" s="33" t="str">
        <f>OVERALL!A9</f>
        <v>NAME</v>
      </c>
      <c r="B9" s="3">
        <f>IF(C9=0,"-",COUNTIF(D9:I9,"y")/C9)</f>
        <v>0.16666666666666666</v>
      </c>
      <c r="C9" s="26">
        <f>$C$2-COUNTIF(D9:I9, "-")</f>
        <v>6</v>
      </c>
      <c r="D9" s="306" t="s">
        <v>123</v>
      </c>
      <c r="E9" s="298" t="s">
        <v>122</v>
      </c>
      <c r="F9" s="294" t="s">
        <v>122</v>
      </c>
      <c r="G9" s="292" t="s">
        <v>122</v>
      </c>
      <c r="H9" s="300" t="s">
        <v>122</v>
      </c>
      <c r="I9" s="303" t="s">
        <v>122</v>
      </c>
      <c r="K9" t="s">
        <v>1</v>
      </c>
    </row>
    <row r="10" spans="1:11" ht="18" customHeight="1" x14ac:dyDescent="0.2">
      <c r="A10" s="33" t="str">
        <f>OVERALL!A10</f>
        <v>BRIDGE</v>
      </c>
      <c r="B10" s="3">
        <f>IF(C10=0,"-",COUNTIF(D10:I10,"y")/C10)</f>
        <v>0.5</v>
      </c>
      <c r="C10" s="26">
        <f>$C$2-COUNTIF(D10:I10, "-")</f>
        <v>6</v>
      </c>
      <c r="D10" s="306" t="s">
        <v>123</v>
      </c>
      <c r="E10" s="298" t="s">
        <v>122</v>
      </c>
      <c r="F10" s="294" t="s">
        <v>123</v>
      </c>
      <c r="G10" s="292" t="s">
        <v>122</v>
      </c>
      <c r="H10" s="300" t="s">
        <v>122</v>
      </c>
      <c r="I10" s="303" t="s">
        <v>123</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4"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4" t="s">
        <v>123</v>
      </c>
      <c r="G14" s="292" t="s">
        <v>123</v>
      </c>
      <c r="H14" s="300" t="s">
        <v>123</v>
      </c>
      <c r="I14" s="303" t="s">
        <v>123</v>
      </c>
      <c r="K14" s="9" t="s">
        <v>14</v>
      </c>
    </row>
    <row r="15" spans="1:11" ht="18" customHeight="1" x14ac:dyDescent="0.2">
      <c r="A15" s="33" t="str">
        <f>OVERALL!A15</f>
        <v>CONFIRM</v>
      </c>
      <c r="B15" s="3">
        <f>IF(C15=0,"-",COUNTIF(D15:I15,"y")/C15)</f>
        <v>0.33333333333333331</v>
      </c>
      <c r="C15" s="26">
        <f>$C$2-COUNTIF(D15:I15, "-")</f>
        <v>6</v>
      </c>
      <c r="D15" s="306" t="s">
        <v>122</v>
      </c>
      <c r="E15" s="298" t="s">
        <v>122</v>
      </c>
      <c r="F15" s="294" t="s">
        <v>123</v>
      </c>
      <c r="G15" s="292" t="s">
        <v>122</v>
      </c>
      <c r="H15" s="300" t="s">
        <v>123</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0.1875</v>
      </c>
      <c r="E17" s="29">
        <f>IF(E22=0,"-",(COUNTIF(E18:E21, "y")/E22)*OVERALL!$C$17)</f>
        <v>0.1875</v>
      </c>
      <c r="F17" s="29">
        <f>IF(F22=0,"-",(COUNTIF(F18:F21, "y")/F22)*OVERALL!$C$17)</f>
        <v>0.1875</v>
      </c>
      <c r="G17" s="29">
        <f>IF(G22=0,"-",(COUNTIF(G18:G21, "y")/G22)*OVERALL!$C$17)</f>
        <v>0.125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306" t="s">
        <v>123</v>
      </c>
      <c r="E18" s="298" t="s">
        <v>123</v>
      </c>
      <c r="F18" s="294" t="s">
        <v>123</v>
      </c>
      <c r="G18" s="292" t="s">
        <v>123</v>
      </c>
      <c r="H18" s="300" t="s">
        <v>123</v>
      </c>
      <c r="I18" s="303" t="s">
        <v>123</v>
      </c>
    </row>
    <row r="19" spans="1:14" ht="18" customHeight="1" x14ac:dyDescent="0.2">
      <c r="A19" s="33" t="str">
        <f>OVERALL!A19</f>
        <v>CHECK</v>
      </c>
      <c r="B19" s="3">
        <f>IF(C19=0,"-",COUNTIF(D19:I19,"y")/C19)</f>
        <v>0</v>
      </c>
      <c r="C19" s="26">
        <f>$C$2-COUNTIF(D19:I19, "-")</f>
        <v>6</v>
      </c>
      <c r="D19" s="306" t="s">
        <v>122</v>
      </c>
      <c r="E19" s="298" t="s">
        <v>122</v>
      </c>
      <c r="F19" s="294" t="s">
        <v>122</v>
      </c>
      <c r="G19" s="292" t="s">
        <v>122</v>
      </c>
      <c r="H19" s="300" t="s">
        <v>122</v>
      </c>
      <c r="I19" s="303" t="s">
        <v>122</v>
      </c>
    </row>
    <row r="20" spans="1:14" ht="18" customHeight="1" x14ac:dyDescent="0.2">
      <c r="A20" s="33" t="str">
        <f>OVERALL!A20</f>
        <v>SEEK</v>
      </c>
      <c r="B20" s="3">
        <f>IF(C20=0,"-",COUNTIF(D20:I20,"y")/C20)</f>
        <v>0.83333333333333337</v>
      </c>
      <c r="C20" s="26">
        <f>$C$2-COUNTIF(D20:I20, "-")</f>
        <v>6</v>
      </c>
      <c r="D20" s="306" t="s">
        <v>123</v>
      </c>
      <c r="E20" s="298" t="s">
        <v>123</v>
      </c>
      <c r="F20" s="294" t="s">
        <v>123</v>
      </c>
      <c r="G20" s="292" t="s">
        <v>122</v>
      </c>
      <c r="H20" s="300" t="s">
        <v>123</v>
      </c>
      <c r="I20" s="303" t="s">
        <v>123</v>
      </c>
      <c r="K20" t="s">
        <v>1</v>
      </c>
    </row>
    <row r="21" spans="1:14" ht="18" customHeight="1" x14ac:dyDescent="0.2">
      <c r="A21" s="33" t="str">
        <f>OVERALL!A21</f>
        <v>CONFIDENCE</v>
      </c>
      <c r="B21" s="3">
        <f>IF(C21=0,"-",COUNTIF(D21:I21,"y")/C21)</f>
        <v>1</v>
      </c>
      <c r="C21" s="26">
        <f>$C$2-COUNTIF(D21:I21, "-")</f>
        <v>6</v>
      </c>
      <c r="D21" s="306" t="s">
        <v>123</v>
      </c>
      <c r="E21" s="298" t="s">
        <v>123</v>
      </c>
      <c r="F21" s="294"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0.72222222222222221</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0.15</v>
      </c>
      <c r="H23" s="29">
        <f>IF(H27=0,"-",(COUNTIF(H24:H26, "y")/H27)*OVERALL!$C$23)</f>
        <v>0.15</v>
      </c>
      <c r="I23" s="29">
        <f>IF(I27=0,"-",(COUNTIF(I24:I26, "y")/I27)*OVERALL!$C$23)</f>
        <v>9.9999999999999992E-2</v>
      </c>
    </row>
    <row r="24" spans="1:14" ht="18" customHeight="1" x14ac:dyDescent="0.2">
      <c r="A24" s="33" t="str">
        <f>OVERALL!A24</f>
        <v>QUESTIONS</v>
      </c>
      <c r="B24" s="3">
        <f>IF(C24=0,"-",COUNTIF(D24:I24,"y")/C24)</f>
        <v>0.5</v>
      </c>
      <c r="C24" s="26">
        <f>$C$2-COUNTIF(D24:I24, "-")</f>
        <v>6</v>
      </c>
      <c r="D24" s="306" t="s">
        <v>122</v>
      </c>
      <c r="E24" s="298" t="s">
        <v>122</v>
      </c>
      <c r="F24" s="294" t="s">
        <v>122</v>
      </c>
      <c r="G24" s="292" t="s">
        <v>123</v>
      </c>
      <c r="H24" s="300" t="s">
        <v>123</v>
      </c>
      <c r="I24" s="303" t="s">
        <v>123</v>
      </c>
    </row>
    <row r="25" spans="1:14" ht="18" customHeight="1" x14ac:dyDescent="0.2">
      <c r="A25" s="33" t="str">
        <f>OVERALL!A25</f>
        <v>GRATITUDE</v>
      </c>
      <c r="B25" s="3">
        <f>IF(C25=0,"-",COUNTIF(D25:I25,"y")/C25)</f>
        <v>0.66666666666666663</v>
      </c>
      <c r="C25" s="26">
        <f>$C$2-COUNTIF(D25:I25, "-")</f>
        <v>6</v>
      </c>
      <c r="D25" s="306" t="s">
        <v>123</v>
      </c>
      <c r="E25" s="298" t="s">
        <v>122</v>
      </c>
      <c r="F25" s="294" t="s">
        <v>123</v>
      </c>
      <c r="G25" s="292" t="s">
        <v>123</v>
      </c>
      <c r="H25" s="300" t="s">
        <v>123</v>
      </c>
      <c r="I25" s="303" t="s">
        <v>122</v>
      </c>
    </row>
    <row r="26" spans="1:14" ht="18" customHeight="1" x14ac:dyDescent="0.2">
      <c r="A26" s="33" t="str">
        <f>OVERALL!A26</f>
        <v>THANKS</v>
      </c>
      <c r="B26" s="3">
        <f>IF(C26=0,"-",COUNTIF(D26:I26,"y")/C26)</f>
        <v>1</v>
      </c>
      <c r="C26" s="26">
        <f>$C$2-COUNTIF(D26:I26, "-")</f>
        <v>6</v>
      </c>
      <c r="D26" s="306" t="s">
        <v>123</v>
      </c>
      <c r="E26" s="298" t="s">
        <v>123</v>
      </c>
      <c r="F26" s="294" t="s">
        <v>123</v>
      </c>
      <c r="G26" s="292" t="s">
        <v>123</v>
      </c>
      <c r="H26" s="300" t="s">
        <v>123</v>
      </c>
      <c r="I26" s="303"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0.15000000000000002</v>
      </c>
      <c r="E28" s="29">
        <f>IF(E33=0,"-",(COUNTIF(E29:E32, "y")/E33)*OVERALL!$C$28)</f>
        <v>0.2</v>
      </c>
      <c r="F28" s="29">
        <f>IF(F33=0,"-",(COUNTIF(F29:F32, "y")/F33)*OVERALL!$C$28)</f>
        <v>0.2</v>
      </c>
      <c r="G28" s="29">
        <f>IF(G33=0,"-",(COUNTIF(G29:G32, "y")/G33)*OVERALL!$C$28)</f>
        <v>0.2</v>
      </c>
      <c r="H28" s="29">
        <f>IF(H33=0,"-",(COUNTIF(H29:H32, "y")/H33)*OVERALL!$C$28)</f>
        <v>0.2</v>
      </c>
      <c r="I28" s="29">
        <f>IF(I33=0,"-",(COUNTIF(I29:I32, "y")/I33)*OVERALL!$C$28)</f>
        <v>0.05</v>
      </c>
    </row>
    <row r="29" spans="1:14" ht="18" customHeight="1" x14ac:dyDescent="0.2">
      <c r="A29" s="33" t="str">
        <f>OVERALL!A29</f>
        <v>VIBRANCY</v>
      </c>
      <c r="B29" s="3">
        <f>IF(C29=0,"-",COUNTIF(D29:I29,"y")/C29)</f>
        <v>1</v>
      </c>
      <c r="C29" s="26">
        <f>$C$2-COUNTIF(D29:I29, "-")</f>
        <v>6</v>
      </c>
      <c r="D29" s="306" t="s">
        <v>123</v>
      </c>
      <c r="E29" s="298" t="s">
        <v>123</v>
      </c>
      <c r="F29" s="294" t="s">
        <v>123</v>
      </c>
      <c r="G29" s="292" t="s">
        <v>123</v>
      </c>
      <c r="H29" s="300" t="s">
        <v>123</v>
      </c>
      <c r="I29" s="303" t="s">
        <v>123</v>
      </c>
    </row>
    <row r="30" spans="1:14" ht="18" customHeight="1" x14ac:dyDescent="0.2">
      <c r="A30" s="33" t="str">
        <f>OVERALL!A30</f>
        <v>EMPATHY</v>
      </c>
      <c r="B30" s="3">
        <f>IF(C30=0,"-",COUNTIF(D30:I30,"y")/C30)</f>
        <v>0.83333333333333337</v>
      </c>
      <c r="C30" s="26">
        <f>$C$2-COUNTIF(D30:I30, "-")</f>
        <v>6</v>
      </c>
      <c r="D30" s="306" t="s">
        <v>123</v>
      </c>
      <c r="E30" s="298" t="s">
        <v>123</v>
      </c>
      <c r="F30" s="294" t="s">
        <v>123</v>
      </c>
      <c r="G30" s="292" t="s">
        <v>123</v>
      </c>
      <c r="H30" s="300" t="s">
        <v>123</v>
      </c>
      <c r="I30" s="303" t="s">
        <v>122</v>
      </c>
    </row>
    <row r="31" spans="1:14" ht="18" customHeight="1" x14ac:dyDescent="0.2">
      <c r="A31" s="33" t="str">
        <f>OVERALL!A31</f>
        <v>CONTROL</v>
      </c>
      <c r="B31" s="3">
        <f>IF(C31=0,"-",COUNTIF(D31:I31,"y")/C31)</f>
        <v>0.83333333333333337</v>
      </c>
      <c r="C31" s="26">
        <f>$C$2-COUNTIF(D31:I31, "-")</f>
        <v>6</v>
      </c>
      <c r="D31" s="306" t="s">
        <v>123</v>
      </c>
      <c r="E31" s="298" t="s">
        <v>123</v>
      </c>
      <c r="F31" s="294" t="s">
        <v>123</v>
      </c>
      <c r="G31" s="292" t="s">
        <v>123</v>
      </c>
      <c r="H31" s="300" t="s">
        <v>123</v>
      </c>
      <c r="I31" s="303" t="s">
        <v>122</v>
      </c>
    </row>
    <row r="32" spans="1:14" ht="18" customHeight="1" x14ac:dyDescent="0.2">
      <c r="A32" s="33" t="str">
        <f>OVERALL!A32</f>
        <v>CLARITY</v>
      </c>
      <c r="B32" s="3">
        <f>IF(C32=0,"-",COUNTIF(D32:I32,"y")/C32)</f>
        <v>0.66666666666666663</v>
      </c>
      <c r="C32" s="26">
        <f>$C$2-COUNTIF(D32:I32, "-")</f>
        <v>6</v>
      </c>
      <c r="D32" s="306" t="s">
        <v>122</v>
      </c>
      <c r="E32" s="298" t="s">
        <v>123</v>
      </c>
      <c r="F32" s="294" t="s">
        <v>123</v>
      </c>
      <c r="G32" s="292" t="s">
        <v>123</v>
      </c>
      <c r="H32" s="300" t="s">
        <v>123</v>
      </c>
      <c r="I32" s="303" t="s">
        <v>122</v>
      </c>
      <c r="N32" t="s">
        <v>1</v>
      </c>
    </row>
    <row r="33" spans="1:19"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306" t="s">
        <v>122</v>
      </c>
      <c r="E35" s="298" t="s">
        <v>122</v>
      </c>
      <c r="F35" s="294" t="s">
        <v>122</v>
      </c>
      <c r="G35" s="292" t="s">
        <v>122</v>
      </c>
      <c r="H35" s="300" t="s">
        <v>122</v>
      </c>
      <c r="I35" s="303" t="s">
        <v>122</v>
      </c>
      <c r="K35" s="48">
        <v>-0.3</v>
      </c>
      <c r="M35" s="48"/>
      <c r="N35" s="48"/>
      <c r="O35" s="48"/>
    </row>
    <row r="36" spans="1:19" ht="18" customHeight="1" x14ac:dyDescent="0.2">
      <c r="A36" s="45" t="str">
        <f>OVERALL!A36</f>
        <v>AUDIO ISSUE (DISTRACTION)</v>
      </c>
      <c r="B36" s="3">
        <f>IF(C36=0,"-",COUNTIF(D36:I36,"y")/C36)</f>
        <v>0</v>
      </c>
      <c r="C36" s="26">
        <f>$C$2-COUNTIF(D36:I36, "-")</f>
        <v>6</v>
      </c>
      <c r="D36" s="306" t="s">
        <v>122</v>
      </c>
      <c r="E36" s="298" t="s">
        <v>122</v>
      </c>
      <c r="F36" s="294" t="s">
        <v>122</v>
      </c>
      <c r="G36" s="292" t="s">
        <v>122</v>
      </c>
      <c r="H36" s="300" t="s">
        <v>122</v>
      </c>
      <c r="I36" s="303" t="s">
        <v>122</v>
      </c>
      <c r="K36" s="48">
        <v>-0.1</v>
      </c>
      <c r="M36" s="48"/>
      <c r="N36" s="48"/>
      <c r="O36" s="48"/>
    </row>
    <row r="37" spans="1:19"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48" t="str">
        <f>OVERALL!A38</f>
        <v>ADDITIONAL INSIGHT</v>
      </c>
      <c r="B38" s="349"/>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306" t="s">
        <v>123</v>
      </c>
      <c r="E39" s="298" t="s">
        <v>123</v>
      </c>
      <c r="F39" s="294" t="s">
        <v>123</v>
      </c>
      <c r="G39" s="292" t="s">
        <v>123</v>
      </c>
      <c r="H39" s="300" t="s">
        <v>123</v>
      </c>
      <c r="I39" s="303" t="s">
        <v>123</v>
      </c>
    </row>
    <row r="40" spans="1:19" ht="18" customHeight="1" x14ac:dyDescent="0.2">
      <c r="A40" s="33" t="str">
        <f>OVERALL!A40</f>
        <v>TALK TIME</v>
      </c>
      <c r="B40" s="282">
        <f>IF(C40=0,"-",AVERAGE(D40:I40))</f>
        <v>3.7114197530864201E-3</v>
      </c>
      <c r="C40" s="26">
        <f t="shared" si="10"/>
        <v>6</v>
      </c>
      <c r="D40" s="286">
        <v>6.5277777777777782E-3</v>
      </c>
      <c r="E40" s="286">
        <v>2.1412037037037038E-3</v>
      </c>
      <c r="F40" s="286">
        <v>4.0509259259259257E-3</v>
      </c>
      <c r="G40" s="286">
        <v>3.3333333333333335E-3</v>
      </c>
      <c r="H40" s="286">
        <v>3.6921296296296298E-3</v>
      </c>
      <c r="I40" s="286">
        <v>2.5231481481481481E-3</v>
      </c>
      <c r="J40" s="46"/>
      <c r="K40" s="266"/>
      <c r="L40" s="266"/>
      <c r="M40" s="266"/>
      <c r="N40" s="266"/>
      <c r="O40" s="266"/>
      <c r="P40" s="266"/>
      <c r="Q40" s="266"/>
      <c r="R40" s="266"/>
      <c r="S40" s="266"/>
    </row>
    <row r="41" spans="1:19" ht="18" customHeight="1" x14ac:dyDescent="0.2">
      <c r="A41" s="33" t="str">
        <f>OVERALL!A41</f>
        <v>ASSESSOR RATING (0-10)</v>
      </c>
      <c r="B41" s="288">
        <f>IF(C41=0,"-",SUM(D41:I41)/C41)</f>
        <v>6.333333333333333</v>
      </c>
      <c r="C41" s="26">
        <f t="shared" si="10"/>
        <v>6</v>
      </c>
      <c r="D41" s="290">
        <v>7</v>
      </c>
      <c r="E41" s="290">
        <v>7</v>
      </c>
      <c r="F41" s="290">
        <v>7</v>
      </c>
      <c r="G41" s="290">
        <v>5</v>
      </c>
      <c r="H41" s="290">
        <v>7</v>
      </c>
      <c r="I41" s="290">
        <v>5</v>
      </c>
    </row>
    <row r="42" spans="1:19" ht="18" customHeight="1" x14ac:dyDescent="0.2">
      <c r="A42" s="33" t="str">
        <f>OVERALL!A42</f>
        <v>EXPLAINED KEY FEATURES</v>
      </c>
      <c r="B42" s="3">
        <f>IF(C42=0,"-",COUNTIF(D42:I42, "y")/C42)</f>
        <v>0.66666666666666663</v>
      </c>
      <c r="C42" s="26">
        <f t="shared" si="10"/>
        <v>6</v>
      </c>
      <c r="D42" s="306" t="s">
        <v>123</v>
      </c>
      <c r="E42" s="298" t="s">
        <v>122</v>
      </c>
      <c r="F42" s="294" t="s">
        <v>123</v>
      </c>
      <c r="G42" s="292" t="s">
        <v>122</v>
      </c>
      <c r="H42" s="300" t="s">
        <v>123</v>
      </c>
      <c r="I42" s="303" t="s">
        <v>123</v>
      </c>
      <c r="J42" s="47"/>
      <c r="K42" t="s">
        <v>1</v>
      </c>
    </row>
    <row r="43" spans="1:19" ht="18" customHeight="1" x14ac:dyDescent="0.2">
      <c r="A43" s="33" t="str">
        <f>OVERALL!A43</f>
        <v>REVEALED PRICING</v>
      </c>
      <c r="B43" s="3">
        <f>IF(C43=0,"-",COUNTIF(D43:I43, "y")/C43)</f>
        <v>1</v>
      </c>
      <c r="C43" s="26">
        <f t="shared" si="10"/>
        <v>6</v>
      </c>
      <c r="D43" s="306" t="s">
        <v>123</v>
      </c>
      <c r="E43" s="298" t="s">
        <v>123</v>
      </c>
      <c r="F43" s="294" t="s">
        <v>123</v>
      </c>
      <c r="G43" s="292" t="s">
        <v>123</v>
      </c>
      <c r="H43" s="300" t="s">
        <v>123</v>
      </c>
      <c r="I43" s="303" t="s">
        <v>123</v>
      </c>
    </row>
    <row r="44" spans="1:19" ht="18" customHeight="1" x14ac:dyDescent="0.2">
      <c r="A44" s="33" t="str">
        <f>OVERALL!A44</f>
        <v>EXPLAINED ACTIONS &amp; PROCESS</v>
      </c>
      <c r="B44" s="3">
        <f>IF(C44=0,"-",COUNTIF(D44:I44, "y")/C44)</f>
        <v>0.66666666666666663</v>
      </c>
      <c r="C44" s="26">
        <f t="shared" si="10"/>
        <v>6</v>
      </c>
      <c r="D44" s="306" t="s">
        <v>123</v>
      </c>
      <c r="E44" s="298" t="s">
        <v>123</v>
      </c>
      <c r="F44" s="294" t="s">
        <v>123</v>
      </c>
      <c r="G44" s="292" t="s">
        <v>123</v>
      </c>
      <c r="H44" s="300" t="s">
        <v>122</v>
      </c>
      <c r="I44" s="303" t="s">
        <v>122</v>
      </c>
    </row>
    <row r="45" spans="1:19" ht="18" customHeight="1" x14ac:dyDescent="0.2">
      <c r="A45" s="33" t="str">
        <f>OVERALL!A45</f>
        <v>WEBSITE EDUCATION</v>
      </c>
      <c r="B45" s="3">
        <f>IF(C45=0,"-",COUNTIF(D45:I45, "y")/C45)</f>
        <v>0</v>
      </c>
      <c r="C45" s="26">
        <f t="shared" si="10"/>
        <v>6</v>
      </c>
      <c r="D45" s="306" t="s">
        <v>122</v>
      </c>
      <c r="E45" s="298" t="s">
        <v>122</v>
      </c>
      <c r="F45" s="294" t="s">
        <v>122</v>
      </c>
      <c r="G45" s="292" t="s">
        <v>122</v>
      </c>
      <c r="H45" s="300" t="s">
        <v>122</v>
      </c>
      <c r="I45" s="303" t="s">
        <v>122</v>
      </c>
    </row>
    <row r="46" spans="1:19" ht="18" customHeight="1" x14ac:dyDescent="0.2">
      <c r="A46" s="18"/>
      <c r="B46" s="3"/>
      <c r="C46" s="26"/>
      <c r="D46" s="264"/>
      <c r="E46" s="264"/>
      <c r="F46" s="264"/>
      <c r="G46" s="264"/>
      <c r="H46" s="264"/>
      <c r="I46" s="264"/>
    </row>
    <row r="47" spans="1:19" ht="210" x14ac:dyDescent="0.2">
      <c r="A47" s="25" t="s">
        <v>1</v>
      </c>
      <c r="B47" s="350" t="s">
        <v>36</v>
      </c>
      <c r="C47" s="351"/>
      <c r="D47" s="23" t="s">
        <v>197</v>
      </c>
      <c r="E47" s="23" t="s">
        <v>155</v>
      </c>
      <c r="F47" s="23" t="s">
        <v>141</v>
      </c>
      <c r="G47" s="23" t="s">
        <v>127</v>
      </c>
      <c r="H47" s="23" t="s">
        <v>168</v>
      </c>
      <c r="I47" s="23" t="s">
        <v>183</v>
      </c>
    </row>
    <row r="48" spans="1:19" ht="18" customHeight="1" x14ac:dyDescent="0.2">
      <c r="A48" s="60" t="s">
        <v>48</v>
      </c>
      <c r="D48" s="51">
        <f t="shared" ref="D48:I48" si="11">IF(D$2="","",IF(D$39="n", "", SUM(D$6,D$12,D$17,D$23,D$28,D$34)))</f>
        <v>0.70416666666666672</v>
      </c>
      <c r="E48" s="51">
        <f t="shared" si="11"/>
        <v>0.60416666666666674</v>
      </c>
      <c r="F48" s="51">
        <f t="shared" si="11"/>
        <v>0.77083333333333326</v>
      </c>
      <c r="G48" s="51">
        <f t="shared" si="11"/>
        <v>0.64166666666666661</v>
      </c>
      <c r="H48" s="51">
        <f t="shared" si="11"/>
        <v>0.77083333333333326</v>
      </c>
      <c r="I48" s="51">
        <f t="shared" si="11"/>
        <v>0.50416666666666665</v>
      </c>
    </row>
    <row r="50" spans="1:9" ht="19" x14ac:dyDescent="0.25">
      <c r="A50" s="111" t="s">
        <v>75</v>
      </c>
      <c r="B50" s="91" t="s">
        <v>76</v>
      </c>
    </row>
    <row r="51" spans="1:9" x14ac:dyDescent="0.2">
      <c r="A51" s="112" t="s">
        <v>64</v>
      </c>
      <c r="B51" s="113">
        <v>0.3</v>
      </c>
      <c r="C51" s="112"/>
      <c r="D51" s="257">
        <f>[1]ALINTA!D$4</f>
        <v>0.71416666666666662</v>
      </c>
      <c r="E51" s="257">
        <f>[1]ALINTA!E$4</f>
        <v>0.65375000000000005</v>
      </c>
      <c r="F51" s="257">
        <f>[1]ALINTA!F$4</f>
        <v>0.30642857142857144</v>
      </c>
      <c r="G51" s="257">
        <f>[1]ALINTA!G$4</f>
        <v>0.74541666666666662</v>
      </c>
      <c r="H51" s="257">
        <f>[1]ALINTA!H$4</f>
        <v>0.67249999999999999</v>
      </c>
      <c r="I51" s="257">
        <f>[1]ALINTA!I$4</f>
        <v>0.74541666666666662</v>
      </c>
    </row>
    <row r="52" spans="1:9" x14ac:dyDescent="0.2">
      <c r="A52" s="112" t="s">
        <v>65</v>
      </c>
      <c r="B52" s="113">
        <v>0.7</v>
      </c>
      <c r="C52" s="112"/>
      <c r="D52" s="258">
        <f t="shared" ref="D52:I52" si="12">D4</f>
        <v>0.70416666666666672</v>
      </c>
      <c r="E52" s="258">
        <f t="shared" si="12"/>
        <v>0.60416666666666674</v>
      </c>
      <c r="F52" s="258">
        <f t="shared" si="12"/>
        <v>0.77083333333333326</v>
      </c>
      <c r="G52" s="258">
        <f t="shared" si="12"/>
        <v>0.64166666666666661</v>
      </c>
      <c r="H52" s="258">
        <f t="shared" si="12"/>
        <v>0.77083333333333326</v>
      </c>
      <c r="I52" s="258">
        <f t="shared" si="12"/>
        <v>0.50416666666666665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0.21424999999999997</v>
      </c>
      <c r="E55" s="258">
        <f t="shared" ref="E55:I55" si="13">IF(E51="-","-",E51*$B$51)</f>
        <v>0.19612500000000002</v>
      </c>
      <c r="F55" s="258">
        <f t="shared" si="13"/>
        <v>9.1928571428571429E-2</v>
      </c>
      <c r="G55" s="258">
        <f t="shared" si="13"/>
        <v>0.22362499999999999</v>
      </c>
      <c r="H55" s="258">
        <f t="shared" si="13"/>
        <v>0.20174999999999998</v>
      </c>
      <c r="I55" s="258">
        <f t="shared" si="13"/>
        <v>0.22362499999999999</v>
      </c>
    </row>
    <row r="56" spans="1:9" x14ac:dyDescent="0.2">
      <c r="A56" s="112" t="s">
        <v>65</v>
      </c>
      <c r="B56" s="112"/>
      <c r="C56" s="112"/>
      <c r="D56" s="258">
        <f t="shared" ref="D56:I56" si="14">IF(D52="-","-",D52*$B$52)</f>
        <v>0.49291666666666667</v>
      </c>
      <c r="E56" s="258">
        <f t="shared" si="14"/>
        <v>0.42291666666666672</v>
      </c>
      <c r="F56" s="258">
        <f t="shared" si="14"/>
        <v>0.53958333333333319</v>
      </c>
      <c r="G56" s="258">
        <f t="shared" si="14"/>
        <v>0.4491666666666666</v>
      </c>
      <c r="H56" s="258">
        <f t="shared" si="14"/>
        <v>0.53958333333333319</v>
      </c>
      <c r="I56" s="258">
        <f t="shared" si="14"/>
        <v>0.35291666666666666</v>
      </c>
    </row>
    <row r="57" spans="1:9" x14ac:dyDescent="0.2">
      <c r="A57" s="115" t="s">
        <v>60</v>
      </c>
      <c r="B57" s="115"/>
      <c r="C57" s="115"/>
      <c r="D57" s="116">
        <f t="shared" ref="D57:I57" si="15">IF(D51="","",IF(D52="","",SUM(D55:D56)))</f>
        <v>0.70716666666666661</v>
      </c>
      <c r="E57" s="116">
        <f t="shared" si="15"/>
        <v>0.61904166666666671</v>
      </c>
      <c r="F57" s="116">
        <f t="shared" si="15"/>
        <v>0.63151190476190466</v>
      </c>
      <c r="G57" s="116">
        <f t="shared" si="15"/>
        <v>0.67279166666666657</v>
      </c>
      <c r="H57" s="116">
        <f t="shared" si="15"/>
        <v>0.74133333333333318</v>
      </c>
      <c r="I57" s="116">
        <f t="shared" si="15"/>
        <v>0.57654166666666662</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7" activePane="bottomRight" state="frozen"/>
      <selection activeCell="G47" sqref="G47"/>
      <selection pane="topRight" activeCell="G47" sqref="G47"/>
      <selection pane="bottomLeft" activeCell="G47" sqref="G47"/>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198</v>
      </c>
      <c r="E2" s="297" t="s">
        <v>156</v>
      </c>
      <c r="F2" s="295" t="s">
        <v>142</v>
      </c>
      <c r="G2" s="293" t="s">
        <v>128</v>
      </c>
      <c r="H2" s="301" t="s">
        <v>169</v>
      </c>
      <c r="I2" s="304" t="s">
        <v>186</v>
      </c>
    </row>
    <row r="3" spans="1:11" ht="19" x14ac:dyDescent="0.2">
      <c r="A3" s="32" t="str">
        <f>OVERALL!F1</f>
        <v>ENERGY AUSTRALIA</v>
      </c>
      <c r="B3" s="249">
        <f>OVERALL!F3</f>
        <v>0.65567361111111122</v>
      </c>
      <c r="C3" s="109" t="s">
        <v>74</v>
      </c>
      <c r="D3" s="110">
        <f>IF(D2="-","-",D57)</f>
        <v>0.67091666666666661</v>
      </c>
      <c r="E3" s="110">
        <f t="shared" ref="E3:I3" si="0">IF(E2="-","-",E57)</f>
        <v>0.71555952380952381</v>
      </c>
      <c r="F3" s="110">
        <f t="shared" si="0"/>
        <v>0.69419047619047625</v>
      </c>
      <c r="G3" s="110">
        <f t="shared" si="0"/>
        <v>0.63591666666666669</v>
      </c>
      <c r="H3" s="110">
        <f t="shared" si="0"/>
        <v>0.51216666666666666</v>
      </c>
      <c r="I3" s="110">
        <f t="shared" si="0"/>
        <v>0.70529166666666665</v>
      </c>
    </row>
    <row r="4" spans="1:11" ht="18" customHeight="1" x14ac:dyDescent="0.2">
      <c r="A4" s="17" t="str">
        <f>OVERALL!A4</f>
        <v>QUALITY SCORE</v>
      </c>
      <c r="B4" s="38">
        <f>IF(C2=0, "-", IF(COUNTIF(D39:I39, "n")=C2, "-", IF(COUNT(D4:I4)=0, "-", AVERAGE(D4:I4))))</f>
        <v>0.69444444444444453</v>
      </c>
      <c r="C4" s="59" t="s">
        <v>1</v>
      </c>
      <c r="D4" s="38">
        <f>IF(D48&lt;0%,0%,IF(D$2="-","-",IF(D$39="n", "-", SUM(D$6,D$12,D$17,D$23,D$28,D$34))))</f>
        <v>0.69166666666666665</v>
      </c>
      <c r="E4" s="38">
        <f t="shared" ref="E4:I4" si="1">IF(E48&lt;0%,0%,IF(E$2="-","-",IF(E$39="n", "-", SUM(E$6,E$12,E$17,E$23,E$28,E$34))))</f>
        <v>0.81666666666666665</v>
      </c>
      <c r="F4" s="38">
        <f t="shared" si="1"/>
        <v>0.77083333333333348</v>
      </c>
      <c r="G4" s="38">
        <f t="shared" si="1"/>
        <v>0.64166666666666672</v>
      </c>
      <c r="H4" s="38">
        <f t="shared" si="1"/>
        <v>0.4916666666666667</v>
      </c>
      <c r="I4" s="38">
        <f t="shared" si="1"/>
        <v>0.75416666666666665</v>
      </c>
      <c r="K4" s="12" t="s">
        <v>8</v>
      </c>
    </row>
    <row r="5" spans="1:11" ht="18" customHeight="1" x14ac:dyDescent="0.25">
      <c r="A5" s="58" t="s">
        <v>49</v>
      </c>
      <c r="B5" s="59">
        <f>IF(B6="-","-",AVERAGE(D5:I5))</f>
        <v>0.69444444444444453</v>
      </c>
      <c r="C5" s="59" t="s">
        <v>1</v>
      </c>
      <c r="D5" s="61">
        <f t="shared" ref="D5:I5" si="2">IF(D$2="","",IF(D$39="n", "", SUM(D$6,D$12,D$17,D$23,D$28)))</f>
        <v>0.69166666666666665</v>
      </c>
      <c r="E5" s="61">
        <f t="shared" si="2"/>
        <v>0.81666666666666665</v>
      </c>
      <c r="F5" s="61">
        <f t="shared" si="2"/>
        <v>0.77083333333333348</v>
      </c>
      <c r="G5" s="61">
        <f t="shared" si="2"/>
        <v>0.64166666666666672</v>
      </c>
      <c r="H5" s="61">
        <f t="shared" si="2"/>
        <v>0.4916666666666667</v>
      </c>
      <c r="I5" s="61">
        <f t="shared" si="2"/>
        <v>0.75416666666666665</v>
      </c>
      <c r="K5" s="7" t="s">
        <v>17</v>
      </c>
    </row>
    <row r="6" spans="1:11" ht="18" customHeight="1" x14ac:dyDescent="0.2">
      <c r="A6" s="20" t="str">
        <f>OVERALL!A6</f>
        <v>ENGAGE</v>
      </c>
      <c r="B6" s="21">
        <f>IF(C11=0,"-",AVERAGE(B7:B10))</f>
        <v>0.83333333333333337</v>
      </c>
      <c r="C6" s="62" t="s">
        <v>0</v>
      </c>
      <c r="D6" s="28">
        <f>IF(D11=0,"-",(COUNTIF(D7:D10, "y")/D11)*OVERALL!$C$6)</f>
        <v>0.15000000000000002</v>
      </c>
      <c r="E6" s="28">
        <f>IF(E11=0,"-",(COUNTIF(E7:E10, "y")/E11)*OVERALL!$C$6)</f>
        <v>0.2</v>
      </c>
      <c r="F6" s="28">
        <f>IF(F11=0,"-",(COUNTIF(F7:F10, "y")/F11)*OVERALL!$C$6)</f>
        <v>0.2</v>
      </c>
      <c r="G6" s="28">
        <f>IF(G11=0,"-",(COUNTIF(G7:G10, "y")/G11)*OVERALL!$C$6)</f>
        <v>0.15000000000000002</v>
      </c>
      <c r="H6" s="28">
        <f>IF(H11=0,"-",(COUNTIF(H7:H10, "y")/H11)*OVERALL!$C$6)</f>
        <v>0.1</v>
      </c>
      <c r="I6" s="28">
        <f>IF(I11=0,"-",(COUNTIF(I7:I10, "y")/I11)*OVERALL!$C$6)</f>
        <v>0.2</v>
      </c>
    </row>
    <row r="7" spans="1:11" ht="18" customHeight="1" x14ac:dyDescent="0.2">
      <c r="A7" s="33" t="str">
        <f>OVERALL!A7</f>
        <v>WELCOME</v>
      </c>
      <c r="B7" s="3">
        <f>IF(C7=0,"-",COUNTIF(D7:I7,"y")/C7)</f>
        <v>1</v>
      </c>
      <c r="C7" s="26">
        <f>$C$2-COUNTIF(D7:I7, "-")</f>
        <v>6</v>
      </c>
      <c r="D7" s="306" t="s">
        <v>123</v>
      </c>
      <c r="E7" s="298" t="s">
        <v>123</v>
      </c>
      <c r="F7" s="294" t="s">
        <v>123</v>
      </c>
      <c r="G7" s="292" t="s">
        <v>123</v>
      </c>
      <c r="H7" s="300" t="s">
        <v>123</v>
      </c>
      <c r="I7" s="303" t="s">
        <v>123</v>
      </c>
      <c r="K7" s="11" t="s">
        <v>2</v>
      </c>
    </row>
    <row r="8" spans="1:11" ht="18" customHeight="1" x14ac:dyDescent="0.25">
      <c r="A8" s="33" t="str">
        <f>OVERALL!A8</f>
        <v>INTENT</v>
      </c>
      <c r="B8" s="3">
        <f>IF(C8=0,"-",COUNTIF(D8:I8,"y")/C8)</f>
        <v>1</v>
      </c>
      <c r="C8" s="26">
        <f>$C$2-COUNTIF(D8:I8, "-")</f>
        <v>6</v>
      </c>
      <c r="D8" s="306" t="s">
        <v>123</v>
      </c>
      <c r="E8" s="298" t="s">
        <v>123</v>
      </c>
      <c r="F8" s="294" t="s">
        <v>123</v>
      </c>
      <c r="G8" s="292" t="s">
        <v>123</v>
      </c>
      <c r="H8" s="300" t="s">
        <v>123</v>
      </c>
      <c r="I8" s="303" t="s">
        <v>123</v>
      </c>
      <c r="K8" s="7" t="s">
        <v>16</v>
      </c>
    </row>
    <row r="9" spans="1:11" ht="18" customHeight="1" x14ac:dyDescent="0.2">
      <c r="A9" s="33" t="str">
        <f>OVERALL!A9</f>
        <v>NAME</v>
      </c>
      <c r="B9" s="3">
        <f>IF(C9=0,"-",COUNTIF(D9:I9,"y")/C9)</f>
        <v>0.5</v>
      </c>
      <c r="C9" s="26">
        <f>$C$2-COUNTIF(D9:I9, "-")</f>
        <v>6</v>
      </c>
      <c r="D9" s="306" t="s">
        <v>122</v>
      </c>
      <c r="E9" s="298" t="s">
        <v>123</v>
      </c>
      <c r="F9" s="294" t="s">
        <v>123</v>
      </c>
      <c r="G9" s="292" t="s">
        <v>122</v>
      </c>
      <c r="H9" s="300" t="s">
        <v>122</v>
      </c>
      <c r="I9" s="303" t="s">
        <v>123</v>
      </c>
      <c r="K9" t="s">
        <v>1</v>
      </c>
    </row>
    <row r="10" spans="1:11" ht="18" customHeight="1" x14ac:dyDescent="0.2">
      <c r="A10" s="33" t="str">
        <f>OVERALL!A10</f>
        <v>BRIDGE</v>
      </c>
      <c r="B10" s="3">
        <f>IF(C10=0,"-",COUNTIF(D10:I10,"y")/C10)</f>
        <v>0.83333333333333337</v>
      </c>
      <c r="C10" s="26">
        <f>$C$2-COUNTIF(D10:I10, "-")</f>
        <v>6</v>
      </c>
      <c r="D10" s="306" t="s">
        <v>123</v>
      </c>
      <c r="E10" s="298" t="s">
        <v>123</v>
      </c>
      <c r="F10" s="294" t="s">
        <v>123</v>
      </c>
      <c r="G10" s="292" t="s">
        <v>123</v>
      </c>
      <c r="H10" s="300" t="s">
        <v>122</v>
      </c>
      <c r="I10" s="303" t="s">
        <v>123</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4"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4" t="s">
        <v>123</v>
      </c>
      <c r="G14" s="292" t="s">
        <v>123</v>
      </c>
      <c r="H14" s="300" t="s">
        <v>123</v>
      </c>
      <c r="I14" s="303" t="s">
        <v>123</v>
      </c>
      <c r="K14" s="9" t="s">
        <v>14</v>
      </c>
    </row>
    <row r="15" spans="1:11" ht="18" customHeight="1" x14ac:dyDescent="0.2">
      <c r="A15" s="33" t="str">
        <f>OVERALL!A15</f>
        <v>CONFIRM</v>
      </c>
      <c r="B15" s="3">
        <f>IF(C15=0,"-",COUNTIF(D15:I15,"y")/C15)</f>
        <v>0.16666666666666666</v>
      </c>
      <c r="C15" s="26">
        <f>$C$2-COUNTIF(D15:I15, "-")</f>
        <v>6</v>
      </c>
      <c r="D15" s="306" t="s">
        <v>122</v>
      </c>
      <c r="E15" s="298" t="s">
        <v>122</v>
      </c>
      <c r="F15" s="294" t="s">
        <v>123</v>
      </c>
      <c r="G15" s="292" t="s">
        <v>122</v>
      </c>
      <c r="H15" s="300" t="s">
        <v>122</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0.125</v>
      </c>
      <c r="E17" s="29">
        <f>IF(E22=0,"-",(COUNTIF(E18:E21, "y")/E22)*OVERALL!$C$17)</f>
        <v>0.25</v>
      </c>
      <c r="F17" s="29">
        <f>IF(F22=0,"-",(COUNTIF(F18:F21, "y")/F22)*OVERALL!$C$17)</f>
        <v>0.1875</v>
      </c>
      <c r="G17" s="29">
        <f>IF(G22=0,"-",(COUNTIF(G18:G21, "y")/G22)*OVERALL!$C$17)</f>
        <v>0.125</v>
      </c>
      <c r="H17" s="29">
        <f>IF(H22=0,"-",(COUNTIF(H18:H21, "y")/H22)*OVERALL!$C$17)</f>
        <v>0.125</v>
      </c>
      <c r="I17" s="29">
        <f>IF(I22=0,"-",(COUNTIF(I18:I21, "y")/I22)*OVERALL!$C$17)</f>
        <v>0.1875</v>
      </c>
      <c r="K17" s="9" t="s">
        <v>6</v>
      </c>
    </row>
    <row r="18" spans="1:14" ht="18" customHeight="1" x14ac:dyDescent="0.2">
      <c r="A18" s="33" t="str">
        <f>OVERALL!A18</f>
        <v>INFORM</v>
      </c>
      <c r="B18" s="3">
        <f>IF(C18=0,"-",COUNTIF(D18:I18,"y")/C18)</f>
        <v>0.5</v>
      </c>
      <c r="C18" s="26">
        <f>$C$2-COUNTIF(D18:I18, "-")</f>
        <v>6</v>
      </c>
      <c r="D18" s="306" t="s">
        <v>122</v>
      </c>
      <c r="E18" s="298" t="s">
        <v>123</v>
      </c>
      <c r="F18" s="294" t="s">
        <v>123</v>
      </c>
      <c r="G18" s="292" t="s">
        <v>122</v>
      </c>
      <c r="H18" s="300" t="s">
        <v>122</v>
      </c>
      <c r="I18" s="303" t="s">
        <v>123</v>
      </c>
    </row>
    <row r="19" spans="1:14" ht="18" customHeight="1" x14ac:dyDescent="0.2">
      <c r="A19" s="33" t="str">
        <f>OVERALL!A19</f>
        <v>CHECK</v>
      </c>
      <c r="B19" s="3">
        <f>IF(C19=0,"-",COUNTIF(D19:I19,"y")/C19)</f>
        <v>0.16666666666666666</v>
      </c>
      <c r="C19" s="26">
        <f>$C$2-COUNTIF(D19:I19, "-")</f>
        <v>6</v>
      </c>
      <c r="D19" s="306" t="s">
        <v>122</v>
      </c>
      <c r="E19" s="298" t="s">
        <v>123</v>
      </c>
      <c r="F19" s="294" t="s">
        <v>122</v>
      </c>
      <c r="G19" s="292" t="s">
        <v>122</v>
      </c>
      <c r="H19" s="300" t="s">
        <v>122</v>
      </c>
      <c r="I19" s="303" t="s">
        <v>122</v>
      </c>
    </row>
    <row r="20" spans="1:14" ht="18" customHeight="1" x14ac:dyDescent="0.2">
      <c r="A20" s="33" t="str">
        <f>OVERALL!A20</f>
        <v>SEEK</v>
      </c>
      <c r="B20" s="3">
        <f>IF(C20=0,"-",COUNTIF(D20:I20,"y")/C20)</f>
        <v>1</v>
      </c>
      <c r="C20" s="26">
        <f>$C$2-COUNTIF(D20:I20, "-")</f>
        <v>6</v>
      </c>
      <c r="D20" s="306" t="s">
        <v>123</v>
      </c>
      <c r="E20" s="298" t="s">
        <v>123</v>
      </c>
      <c r="F20" s="294" t="s">
        <v>123</v>
      </c>
      <c r="G20" s="292" t="s">
        <v>123</v>
      </c>
      <c r="H20" s="300" t="s">
        <v>123</v>
      </c>
      <c r="I20" s="303" t="s">
        <v>123</v>
      </c>
      <c r="K20" t="s">
        <v>1</v>
      </c>
    </row>
    <row r="21" spans="1:14" ht="18" customHeight="1" x14ac:dyDescent="0.2">
      <c r="A21" s="33" t="str">
        <f>OVERALL!A21</f>
        <v>CONFIDENCE</v>
      </c>
      <c r="B21" s="3">
        <f>IF(C21=0,"-",COUNTIF(D21:I21,"y")/C21)</f>
        <v>1</v>
      </c>
      <c r="C21" s="26">
        <f>$C$2-COUNTIF(D21:I21, "-")</f>
        <v>6</v>
      </c>
      <c r="D21" s="306" t="s">
        <v>123</v>
      </c>
      <c r="E21" s="298" t="s">
        <v>123</v>
      </c>
      <c r="F21" s="294"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0.77777777777777779</v>
      </c>
      <c r="C23" s="1" t="s">
        <v>1</v>
      </c>
      <c r="D23" s="29">
        <f>IF(D27=0,"-",(COUNTIF(D24:D26, "y")/D27)*OVERALL!$C$23)</f>
        <v>0.15</v>
      </c>
      <c r="E23" s="29">
        <f>IF(E27=0,"-",(COUNTIF(E24:E26, "y")/E27)*OVERALL!$C$23)</f>
        <v>9.9999999999999992E-2</v>
      </c>
      <c r="F23" s="29">
        <f>IF(F27=0,"-",(COUNTIF(F24:F26, "y")/F27)*OVERALL!$C$23)</f>
        <v>4.9999999999999996E-2</v>
      </c>
      <c r="G23" s="29">
        <f>IF(G27=0,"-",(COUNTIF(G24:G26, "y")/G27)*OVERALL!$C$23)</f>
        <v>0.15</v>
      </c>
      <c r="H23" s="29">
        <f>IF(H27=0,"-",(COUNTIF(H24:H26, "y")/H27)*OVERALL!$C$23)</f>
        <v>9.9999999999999992E-2</v>
      </c>
      <c r="I23" s="29">
        <f>IF(I27=0,"-",(COUNTIF(I24:I26, "y")/I27)*OVERALL!$C$23)</f>
        <v>0.15</v>
      </c>
    </row>
    <row r="24" spans="1:14" ht="18" customHeight="1" x14ac:dyDescent="0.2">
      <c r="A24" s="33" t="str">
        <f>OVERALL!A24</f>
        <v>QUESTIONS</v>
      </c>
      <c r="B24" s="3">
        <f>IF(C24=0,"-",COUNTIF(D24:I24,"y")/C24)</f>
        <v>0.5</v>
      </c>
      <c r="C24" s="26">
        <f>$C$2-COUNTIF(D24:I24, "-")</f>
        <v>6</v>
      </c>
      <c r="D24" s="306" t="s">
        <v>123</v>
      </c>
      <c r="E24" s="298" t="s">
        <v>122</v>
      </c>
      <c r="F24" s="294" t="s">
        <v>122</v>
      </c>
      <c r="G24" s="292" t="s">
        <v>123</v>
      </c>
      <c r="H24" s="300" t="s">
        <v>122</v>
      </c>
      <c r="I24" s="303" t="s">
        <v>123</v>
      </c>
    </row>
    <row r="25" spans="1:14" ht="18" customHeight="1" x14ac:dyDescent="0.2">
      <c r="A25" s="33" t="str">
        <f>OVERALL!A25</f>
        <v>GRATITUDE</v>
      </c>
      <c r="B25" s="3">
        <f>IF(C25=0,"-",COUNTIF(D25:I25,"y")/C25)</f>
        <v>0.83333333333333337</v>
      </c>
      <c r="C25" s="26">
        <f>$C$2-COUNTIF(D25:I25, "-")</f>
        <v>6</v>
      </c>
      <c r="D25" s="306" t="s">
        <v>123</v>
      </c>
      <c r="E25" s="298" t="s">
        <v>123</v>
      </c>
      <c r="F25" s="294" t="s">
        <v>122</v>
      </c>
      <c r="G25" s="292" t="s">
        <v>123</v>
      </c>
      <c r="H25" s="300" t="s">
        <v>123</v>
      </c>
      <c r="I25" s="303" t="s">
        <v>123</v>
      </c>
    </row>
    <row r="26" spans="1:14" ht="18" customHeight="1" x14ac:dyDescent="0.2">
      <c r="A26" s="33" t="str">
        <f>OVERALL!A26</f>
        <v>THANKS</v>
      </c>
      <c r="B26" s="3">
        <f>IF(C26=0,"-",COUNTIF(D26:I26,"y")/C26)</f>
        <v>1</v>
      </c>
      <c r="C26" s="26">
        <f>$C$2-COUNTIF(D26:I26, "-")</f>
        <v>6</v>
      </c>
      <c r="D26" s="306" t="s">
        <v>123</v>
      </c>
      <c r="E26" s="298" t="s">
        <v>123</v>
      </c>
      <c r="F26" s="294" t="s">
        <v>123</v>
      </c>
      <c r="G26" s="292" t="s">
        <v>123</v>
      </c>
      <c r="H26" s="300" t="s">
        <v>123</v>
      </c>
      <c r="I26" s="303"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0.2</v>
      </c>
      <c r="E28" s="29">
        <f>IF(E33=0,"-",(COUNTIF(E29:E32, "y")/E33)*OVERALL!$C$28)</f>
        <v>0.2</v>
      </c>
      <c r="F28" s="29">
        <f>IF(F33=0,"-",(COUNTIF(F29:F32, "y")/F33)*OVERALL!$C$28)</f>
        <v>0.2</v>
      </c>
      <c r="G28" s="29">
        <f>IF(G33=0,"-",(COUNTIF(G29:G32, "y")/G33)*OVERALL!$C$28)</f>
        <v>0.15000000000000002</v>
      </c>
      <c r="H28" s="29">
        <f>IF(H33=0,"-",(COUNTIF(H29:H32, "y")/H33)*OVERALL!$C$28)</f>
        <v>0.1</v>
      </c>
      <c r="I28" s="29">
        <f>IF(I33=0,"-",(COUNTIF(I29:I32, "y")/I33)*OVERALL!$C$28)</f>
        <v>0.15000000000000002</v>
      </c>
    </row>
    <row r="29" spans="1:14" ht="18" customHeight="1" x14ac:dyDescent="0.2">
      <c r="A29" s="33" t="str">
        <f>OVERALL!A29</f>
        <v>VIBRANCY</v>
      </c>
      <c r="B29" s="3">
        <f>IF(C29=0,"-",COUNTIF(D29:I29,"y")/C29)</f>
        <v>1</v>
      </c>
      <c r="C29" s="26">
        <f>$C$2-COUNTIF(D29:I29, "-")</f>
        <v>6</v>
      </c>
      <c r="D29" s="306" t="s">
        <v>123</v>
      </c>
      <c r="E29" s="298" t="s">
        <v>123</v>
      </c>
      <c r="F29" s="294" t="s">
        <v>123</v>
      </c>
      <c r="G29" s="292" t="s">
        <v>123</v>
      </c>
      <c r="H29" s="300" t="s">
        <v>123</v>
      </c>
      <c r="I29" s="303" t="s">
        <v>123</v>
      </c>
    </row>
    <row r="30" spans="1:14" ht="18" customHeight="1" x14ac:dyDescent="0.2">
      <c r="A30" s="33" t="str">
        <f>OVERALL!A30</f>
        <v>EMPATHY</v>
      </c>
      <c r="B30" s="3">
        <f>IF(C30=0,"-",COUNTIF(D30:I30,"y")/C30)</f>
        <v>0.83333333333333337</v>
      </c>
      <c r="C30" s="26">
        <f>$C$2-COUNTIF(D30:I30, "-")</f>
        <v>6</v>
      </c>
      <c r="D30" s="306" t="s">
        <v>123</v>
      </c>
      <c r="E30" s="298" t="s">
        <v>123</v>
      </c>
      <c r="F30" s="294" t="s">
        <v>123</v>
      </c>
      <c r="G30" s="292" t="s">
        <v>123</v>
      </c>
      <c r="H30" s="300" t="s">
        <v>122</v>
      </c>
      <c r="I30" s="303" t="s">
        <v>123</v>
      </c>
    </row>
    <row r="31" spans="1:14" ht="18" customHeight="1" x14ac:dyDescent="0.2">
      <c r="A31" s="33" t="str">
        <f>OVERALL!A31</f>
        <v>CONTROL</v>
      </c>
      <c r="B31" s="3">
        <f>IF(C31=0,"-",COUNTIF(D31:I31,"y")/C31)</f>
        <v>0.83333333333333337</v>
      </c>
      <c r="C31" s="26">
        <f>$C$2-COUNTIF(D31:I31, "-")</f>
        <v>6</v>
      </c>
      <c r="D31" s="306" t="s">
        <v>123</v>
      </c>
      <c r="E31" s="298" t="s">
        <v>123</v>
      </c>
      <c r="F31" s="294" t="s">
        <v>123</v>
      </c>
      <c r="G31" s="292" t="s">
        <v>123</v>
      </c>
      <c r="H31" s="300" t="s">
        <v>122</v>
      </c>
      <c r="I31" s="303" t="s">
        <v>123</v>
      </c>
    </row>
    <row r="32" spans="1:14" ht="18" customHeight="1" x14ac:dyDescent="0.2">
      <c r="A32" s="33" t="str">
        <f>OVERALL!A32</f>
        <v>CLARITY</v>
      </c>
      <c r="B32" s="3">
        <f>IF(C32=0,"-",COUNTIF(D32:I32,"y")/C32)</f>
        <v>0.66666666666666663</v>
      </c>
      <c r="C32" s="26">
        <f>$C$2-COUNTIF(D32:I32, "-")</f>
        <v>6</v>
      </c>
      <c r="D32" s="306" t="s">
        <v>123</v>
      </c>
      <c r="E32" s="298" t="s">
        <v>123</v>
      </c>
      <c r="F32" s="294" t="s">
        <v>123</v>
      </c>
      <c r="G32" s="292" t="s">
        <v>122</v>
      </c>
      <c r="H32" s="300" t="s">
        <v>123</v>
      </c>
      <c r="I32" s="303"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6" t="s">
        <v>122</v>
      </c>
      <c r="E35" s="298" t="s">
        <v>122</v>
      </c>
      <c r="F35" s="294"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v>
      </c>
      <c r="C36" s="26">
        <f>$C$2-COUNTIF(D36:I36, "-")</f>
        <v>6</v>
      </c>
      <c r="D36" s="306" t="s">
        <v>122</v>
      </c>
      <c r="E36" s="298" t="s">
        <v>122</v>
      </c>
      <c r="F36" s="294"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4" t="s">
        <v>123</v>
      </c>
      <c r="G39" s="292" t="s">
        <v>123</v>
      </c>
      <c r="H39" s="300" t="s">
        <v>123</v>
      </c>
      <c r="I39" s="303" t="s">
        <v>123</v>
      </c>
    </row>
    <row r="40" spans="1:16" ht="18" customHeight="1" x14ac:dyDescent="0.2">
      <c r="A40" s="33" t="str">
        <f>OVERALL!A40</f>
        <v>TALK TIME</v>
      </c>
      <c r="B40" s="282">
        <f>IF(C40=0,"-",AVERAGE(D40:I40))</f>
        <v>5.37037037037037E-3</v>
      </c>
      <c r="C40" s="26">
        <f t="shared" si="10"/>
        <v>6</v>
      </c>
      <c r="D40" s="286">
        <v>4.9652777777777777E-3</v>
      </c>
      <c r="E40" s="286">
        <v>5.4050925925925924E-3</v>
      </c>
      <c r="F40" s="286">
        <v>4.31712962962963E-3</v>
      </c>
      <c r="G40" s="286">
        <v>4.8726851851851848E-3</v>
      </c>
      <c r="H40" s="286">
        <v>7.4652777777777781E-3</v>
      </c>
      <c r="I40" s="286">
        <v>5.1967592592592595E-3</v>
      </c>
      <c r="J40" s="46"/>
      <c r="K40" s="266"/>
      <c r="L40" s="266"/>
      <c r="M40" s="266"/>
      <c r="N40" s="266"/>
      <c r="O40" s="266"/>
      <c r="P40" s="266"/>
    </row>
    <row r="41" spans="1:16" ht="18" customHeight="1" x14ac:dyDescent="0.2">
      <c r="A41" s="33" t="str">
        <f>OVERALL!A41</f>
        <v>ASSESSOR RATING (0-10)</v>
      </c>
      <c r="B41" s="288">
        <f>IF(C41=0,"-",SUM(D41:I41)/C41)</f>
        <v>6.333333333333333</v>
      </c>
      <c r="C41" s="26">
        <f t="shared" si="10"/>
        <v>6</v>
      </c>
      <c r="D41" s="290">
        <v>6</v>
      </c>
      <c r="E41" s="290">
        <v>8</v>
      </c>
      <c r="F41" s="290">
        <v>7</v>
      </c>
      <c r="G41" s="290">
        <v>6</v>
      </c>
      <c r="H41" s="290">
        <v>4</v>
      </c>
      <c r="I41" s="290">
        <v>7</v>
      </c>
    </row>
    <row r="42" spans="1:16" ht="18" customHeight="1" x14ac:dyDescent="0.2">
      <c r="A42" s="33" t="str">
        <f>OVERALL!A42</f>
        <v>EXPLAINED KEY FEATURES</v>
      </c>
      <c r="B42" s="3">
        <f>IF(C42=0,"-",COUNTIF(D42:I42, "y")/C42)</f>
        <v>0.5</v>
      </c>
      <c r="C42" s="26">
        <f t="shared" si="10"/>
        <v>6</v>
      </c>
      <c r="D42" s="306" t="s">
        <v>122</v>
      </c>
      <c r="E42" s="298" t="s">
        <v>123</v>
      </c>
      <c r="F42" s="294" t="s">
        <v>123</v>
      </c>
      <c r="G42" s="292" t="s">
        <v>122</v>
      </c>
      <c r="H42" s="300" t="s">
        <v>122</v>
      </c>
      <c r="I42" s="303" t="s">
        <v>123</v>
      </c>
      <c r="J42" s="47"/>
      <c r="K42" t="s">
        <v>1</v>
      </c>
    </row>
    <row r="43" spans="1:16" ht="18" customHeight="1" x14ac:dyDescent="0.2">
      <c r="A43" s="33" t="str">
        <f>OVERALL!A43</f>
        <v>REVEALED PRICING</v>
      </c>
      <c r="B43" s="3">
        <f>IF(C43=0,"-",COUNTIF(D43:I43, "y")/C43)</f>
        <v>0.66666666666666663</v>
      </c>
      <c r="C43" s="26">
        <f t="shared" si="10"/>
        <v>6</v>
      </c>
      <c r="D43" s="306" t="s">
        <v>122</v>
      </c>
      <c r="E43" s="298" t="s">
        <v>123</v>
      </c>
      <c r="F43" s="294" t="s">
        <v>123</v>
      </c>
      <c r="G43" s="292" t="s">
        <v>122</v>
      </c>
      <c r="H43" s="300" t="s">
        <v>123</v>
      </c>
      <c r="I43" s="303" t="s">
        <v>123</v>
      </c>
    </row>
    <row r="44" spans="1:16" ht="18" customHeight="1" x14ac:dyDescent="0.2">
      <c r="A44" s="33" t="str">
        <f>OVERALL!A44</f>
        <v>EXPLAINED ACTIONS &amp; PROCESS</v>
      </c>
      <c r="B44" s="3">
        <f>IF(C44=0,"-",COUNTIF(D44:I44, "y")/C44)</f>
        <v>0.66666666666666663</v>
      </c>
      <c r="C44" s="26">
        <f t="shared" si="10"/>
        <v>6</v>
      </c>
      <c r="D44" s="306" t="s">
        <v>123</v>
      </c>
      <c r="E44" s="298" t="s">
        <v>122</v>
      </c>
      <c r="F44" s="294" t="s">
        <v>123</v>
      </c>
      <c r="G44" s="292" t="s">
        <v>123</v>
      </c>
      <c r="H44" s="300" t="s">
        <v>122</v>
      </c>
      <c r="I44" s="303" t="s">
        <v>123</v>
      </c>
    </row>
    <row r="45" spans="1:16" ht="18" customHeight="1" x14ac:dyDescent="0.2">
      <c r="A45" s="33" t="str">
        <f>OVERALL!A45</f>
        <v>WEBSITE EDUCATION</v>
      </c>
      <c r="B45" s="3">
        <f>IF(C45=0,"-",COUNTIF(D45:I45, "y")/C45)</f>
        <v>0</v>
      </c>
      <c r="C45" s="26">
        <f t="shared" si="10"/>
        <v>6</v>
      </c>
      <c r="D45" s="306" t="s">
        <v>122</v>
      </c>
      <c r="E45" s="298" t="s">
        <v>122</v>
      </c>
      <c r="F45" s="294" t="s">
        <v>122</v>
      </c>
      <c r="G45" s="292" t="s">
        <v>122</v>
      </c>
      <c r="H45" s="300" t="s">
        <v>122</v>
      </c>
      <c r="I45" s="303" t="s">
        <v>122</v>
      </c>
    </row>
    <row r="46" spans="1:16" ht="18" customHeight="1" x14ac:dyDescent="0.2">
      <c r="A46" s="18"/>
      <c r="B46" s="3"/>
      <c r="C46" s="26"/>
      <c r="D46" s="264"/>
      <c r="E46" s="264"/>
      <c r="F46" s="264"/>
      <c r="G46" s="264"/>
      <c r="H46" s="264"/>
      <c r="I46" s="264"/>
    </row>
    <row r="47" spans="1:16" ht="210" x14ac:dyDescent="0.2">
      <c r="A47" s="25" t="s">
        <v>1</v>
      </c>
      <c r="B47" s="350" t="s">
        <v>36</v>
      </c>
      <c r="C47" s="351"/>
      <c r="D47" s="23" t="s">
        <v>199</v>
      </c>
      <c r="E47" s="23" t="s">
        <v>157</v>
      </c>
      <c r="F47" s="23" t="s">
        <v>143</v>
      </c>
      <c r="G47" s="23" t="s">
        <v>129</v>
      </c>
      <c r="H47" s="23" t="s">
        <v>170</v>
      </c>
      <c r="I47" s="23" t="s">
        <v>187</v>
      </c>
    </row>
    <row r="48" spans="1:16" ht="18" customHeight="1" x14ac:dyDescent="0.2">
      <c r="A48" s="60" t="s">
        <v>48</v>
      </c>
      <c r="D48" s="51">
        <f t="shared" ref="D48:I48" si="11">IF(D$2="","",IF(D$39="n", "", SUM(D$6,D$12,D$17,D$23,D$28,D$34)))</f>
        <v>0.69166666666666665</v>
      </c>
      <c r="E48" s="51">
        <f t="shared" si="11"/>
        <v>0.81666666666666665</v>
      </c>
      <c r="F48" s="51">
        <f t="shared" si="11"/>
        <v>0.77083333333333348</v>
      </c>
      <c r="G48" s="51">
        <f t="shared" si="11"/>
        <v>0.64166666666666672</v>
      </c>
      <c r="H48" s="51">
        <f t="shared" si="11"/>
        <v>0.4916666666666667</v>
      </c>
      <c r="I48" s="51">
        <f t="shared" si="11"/>
        <v>0.75416666666666665</v>
      </c>
    </row>
    <row r="50" spans="1:9" ht="19" x14ac:dyDescent="0.25">
      <c r="A50" s="111" t="s">
        <v>75</v>
      </c>
      <c r="B50" s="91" t="s">
        <v>76</v>
      </c>
    </row>
    <row r="51" spans="1:9" x14ac:dyDescent="0.2">
      <c r="A51" s="112" t="s">
        <v>64</v>
      </c>
      <c r="B51" s="113">
        <v>0.3</v>
      </c>
      <c r="C51" s="112"/>
      <c r="D51" s="257">
        <f>'[1]ENERGY AUSTRALIA'!D$4</f>
        <v>0.62250000000000005</v>
      </c>
      <c r="E51" s="257">
        <f>'[1]ENERGY AUSTRALIA'!E$4</f>
        <v>0.47964285714285715</v>
      </c>
      <c r="F51" s="257">
        <f>'[1]ENERGY AUSTRALIA'!F$4</f>
        <v>0.51535714285714285</v>
      </c>
      <c r="G51" s="257">
        <f>'[1]ENERGY AUSTRALIA'!G$4</f>
        <v>0.62250000000000005</v>
      </c>
      <c r="H51" s="257">
        <f>'[1]ENERGY AUSTRALIA'!H$4</f>
        <v>0.56000000000000005</v>
      </c>
      <c r="I51" s="257">
        <f>'[1]ENERGY AUSTRALIA'!I$4</f>
        <v>0.59125000000000005</v>
      </c>
    </row>
    <row r="52" spans="1:9" x14ac:dyDescent="0.2">
      <c r="A52" s="112" t="s">
        <v>65</v>
      </c>
      <c r="B52" s="113">
        <v>0.7</v>
      </c>
      <c r="C52" s="112"/>
      <c r="D52" s="258">
        <f t="shared" ref="D52:I52" si="12">D4</f>
        <v>0.69166666666666665</v>
      </c>
      <c r="E52" s="258">
        <f t="shared" si="12"/>
        <v>0.81666666666666665</v>
      </c>
      <c r="F52" s="258">
        <f t="shared" si="12"/>
        <v>0.77083333333333348</v>
      </c>
      <c r="G52" s="258">
        <f t="shared" si="12"/>
        <v>0.64166666666666672</v>
      </c>
      <c r="H52" s="258">
        <f t="shared" si="12"/>
        <v>0.4916666666666667</v>
      </c>
      <c r="I52" s="258">
        <f t="shared" si="12"/>
        <v>0.75416666666666665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0.18675</v>
      </c>
      <c r="E55" s="258">
        <f t="shared" ref="E55:I55" si="13">IF(E51="-","-",E51*$B$51)</f>
        <v>0.14389285714285713</v>
      </c>
      <c r="F55" s="258">
        <f t="shared" si="13"/>
        <v>0.15460714285714286</v>
      </c>
      <c r="G55" s="258">
        <f t="shared" si="13"/>
        <v>0.18675</v>
      </c>
      <c r="H55" s="258">
        <f t="shared" si="13"/>
        <v>0.16800000000000001</v>
      </c>
      <c r="I55" s="258">
        <f t="shared" si="13"/>
        <v>0.177375</v>
      </c>
    </row>
    <row r="56" spans="1:9" x14ac:dyDescent="0.2">
      <c r="A56" s="112" t="s">
        <v>65</v>
      </c>
      <c r="B56" s="112"/>
      <c r="C56" s="112"/>
      <c r="D56" s="258">
        <f t="shared" ref="D56:I56" si="14">IF(D52="-","-",D52*$B$52)</f>
        <v>0.48416666666666663</v>
      </c>
      <c r="E56" s="258">
        <f t="shared" si="14"/>
        <v>0.57166666666666666</v>
      </c>
      <c r="F56" s="258">
        <f t="shared" si="14"/>
        <v>0.53958333333333341</v>
      </c>
      <c r="G56" s="258">
        <f t="shared" si="14"/>
        <v>0.44916666666666666</v>
      </c>
      <c r="H56" s="258">
        <f t="shared" si="14"/>
        <v>0.34416666666666668</v>
      </c>
      <c r="I56" s="258">
        <f t="shared" si="14"/>
        <v>0.52791666666666659</v>
      </c>
    </row>
    <row r="57" spans="1:9" x14ac:dyDescent="0.2">
      <c r="A57" s="115" t="s">
        <v>60</v>
      </c>
      <c r="B57" s="115"/>
      <c r="C57" s="115"/>
      <c r="D57" s="116">
        <f t="shared" ref="D57:I57" si="15">IF(D51="","",IF(D52="","",SUM(D55:D56)))</f>
        <v>0.67091666666666661</v>
      </c>
      <c r="E57" s="116">
        <f t="shared" si="15"/>
        <v>0.71555952380952381</v>
      </c>
      <c r="F57" s="116">
        <f t="shared" si="15"/>
        <v>0.69419047619047625</v>
      </c>
      <c r="G57" s="116">
        <f t="shared" si="15"/>
        <v>0.63591666666666669</v>
      </c>
      <c r="H57" s="116">
        <f t="shared" si="15"/>
        <v>0.51216666666666666</v>
      </c>
      <c r="I57" s="116">
        <f t="shared" si="15"/>
        <v>0.70529166666666665</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200</v>
      </c>
      <c r="E2" s="297" t="s">
        <v>158</v>
      </c>
      <c r="F2" s="295" t="s">
        <v>144</v>
      </c>
      <c r="G2" s="293" t="s">
        <v>130</v>
      </c>
      <c r="H2" s="301" t="s">
        <v>171</v>
      </c>
      <c r="I2" s="304" t="s">
        <v>184</v>
      </c>
    </row>
    <row r="3" spans="1:11" ht="19" x14ac:dyDescent="0.2">
      <c r="A3" s="32" t="str">
        <f>OVERALL!G1</f>
        <v>ORIGIN</v>
      </c>
      <c r="B3" s="249">
        <f>OVERALL!G3</f>
        <v>0.48589781746031746</v>
      </c>
      <c r="C3" s="109" t="s">
        <v>74</v>
      </c>
      <c r="D3" s="110">
        <f>IF(D2="-","-",D57)</f>
        <v>0.23249999999999998</v>
      </c>
      <c r="E3" s="110">
        <f t="shared" ref="E3:I3" si="0">IF(E2="-","-",E57)</f>
        <v>0.4631845238095238</v>
      </c>
      <c r="F3" s="110">
        <f t="shared" si="0"/>
        <v>0.59229166666666666</v>
      </c>
      <c r="G3" s="110">
        <f t="shared" si="0"/>
        <v>0.70193452380952381</v>
      </c>
      <c r="H3" s="110">
        <f t="shared" si="0"/>
        <v>0.41943452380952378</v>
      </c>
      <c r="I3" s="110">
        <f t="shared" si="0"/>
        <v>0.50604166666666661</v>
      </c>
    </row>
    <row r="4" spans="1:11" ht="18" customHeight="1" x14ac:dyDescent="0.2">
      <c r="A4" s="17" t="str">
        <f>OVERALL!A4</f>
        <v>QUALITY SCORE</v>
      </c>
      <c r="B4" s="38">
        <f>IF(C2=0, "-", IF(COUNTIF(D39:I39, "n")=C2, "-", IF(COUNT(D4:I4)=0, "-", AVERAGE(D4:I4))))</f>
        <v>0.41180555555555559</v>
      </c>
      <c r="C4" s="59" t="s">
        <v>1</v>
      </c>
      <c r="D4" s="38">
        <f>IF(D48&lt;0%,0%,IF(D$2="-","-",IF(D$39="n", "-", SUM(D$6,D$12,D$17,D$23,D$28,D$34))))</f>
        <v>0</v>
      </c>
      <c r="E4" s="38">
        <f t="shared" ref="E4:I4" si="1">IF(E48&lt;0%,0%,IF(E$2="-","-",IF(E$39="n", "-", SUM(E$6,E$12,E$17,E$23,E$28,E$34))))</f>
        <v>0.40416666666666667</v>
      </c>
      <c r="F4" s="38">
        <f t="shared" si="1"/>
        <v>0.5541666666666667</v>
      </c>
      <c r="G4" s="38">
        <f t="shared" si="1"/>
        <v>0.76666666666666661</v>
      </c>
      <c r="H4" s="38">
        <f t="shared" si="1"/>
        <v>0.34166666666666667</v>
      </c>
      <c r="I4" s="38">
        <f t="shared" si="1"/>
        <v>0.40416666666666667</v>
      </c>
      <c r="K4" s="12" t="s">
        <v>8</v>
      </c>
    </row>
    <row r="5" spans="1:11" ht="18" customHeight="1" x14ac:dyDescent="0.25">
      <c r="A5" s="58" t="s">
        <v>49</v>
      </c>
      <c r="B5" s="59">
        <f>IF(B6="-","-",AVERAGE(D5:I5))</f>
        <v>0.45625000000000004</v>
      </c>
      <c r="C5" s="59" t="s">
        <v>1</v>
      </c>
      <c r="D5" s="61">
        <f t="shared" ref="D5:I5" si="2">IF(D$2="","",IF(D$39="n", "", SUM(D$6,D$12,D$17,D$23,D$28)))</f>
        <v>0.26666666666666672</v>
      </c>
      <c r="E5" s="61">
        <f t="shared" si="2"/>
        <v>0.40416666666666667</v>
      </c>
      <c r="F5" s="61">
        <f t="shared" si="2"/>
        <v>0.5541666666666667</v>
      </c>
      <c r="G5" s="61">
        <f t="shared" si="2"/>
        <v>0.76666666666666661</v>
      </c>
      <c r="H5" s="61">
        <f t="shared" si="2"/>
        <v>0.34166666666666667</v>
      </c>
      <c r="I5" s="61">
        <f t="shared" si="2"/>
        <v>0.40416666666666667</v>
      </c>
      <c r="K5" s="7" t="s">
        <v>17</v>
      </c>
    </row>
    <row r="6" spans="1:11" ht="18" customHeight="1" x14ac:dyDescent="0.2">
      <c r="A6" s="20" t="str">
        <f>OVERALL!A6</f>
        <v>ENGAGE</v>
      </c>
      <c r="B6" s="21">
        <f>IF(C11=0,"-",AVERAGE(B7:B10))</f>
        <v>0.33333333333333337</v>
      </c>
      <c r="C6" s="62" t="s">
        <v>0</v>
      </c>
      <c r="D6" s="28">
        <f>IF(D11=0,"-",(COUNTIF(D7:D10, "y")/D11)*OVERALL!$C$6)</f>
        <v>0.05</v>
      </c>
      <c r="E6" s="28">
        <f>IF(E11=0,"-",(COUNTIF(E7:E10, "y")/E11)*OVERALL!$C$6)</f>
        <v>0.05</v>
      </c>
      <c r="F6" s="28">
        <f>IF(F11=0,"-",(COUNTIF(F7:F10, "y")/F11)*OVERALL!$C$6)</f>
        <v>0.1</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06" t="s">
        <v>123</v>
      </c>
      <c r="E7" s="298" t="s">
        <v>123</v>
      </c>
      <c r="F7" s="294" t="s">
        <v>123</v>
      </c>
      <c r="G7" s="292" t="s">
        <v>123</v>
      </c>
      <c r="H7" s="300" t="s">
        <v>123</v>
      </c>
      <c r="I7" s="303" t="s">
        <v>123</v>
      </c>
      <c r="K7" s="11" t="s">
        <v>2</v>
      </c>
    </row>
    <row r="8" spans="1:11" ht="18" customHeight="1" x14ac:dyDescent="0.25">
      <c r="A8" s="33" t="str">
        <f>OVERALL!A8</f>
        <v>INTENT</v>
      </c>
      <c r="B8" s="3">
        <f>IF(C8=0,"-",COUNTIF(D8:I8,"y")/C8)</f>
        <v>0.16666666666666666</v>
      </c>
      <c r="C8" s="26">
        <f>$C$2-COUNTIF(D8:I8, "-")</f>
        <v>6</v>
      </c>
      <c r="D8" s="306" t="s">
        <v>122</v>
      </c>
      <c r="E8" s="298" t="s">
        <v>122</v>
      </c>
      <c r="F8" s="294" t="s">
        <v>123</v>
      </c>
      <c r="G8" s="292" t="s">
        <v>122</v>
      </c>
      <c r="H8" s="300" t="s">
        <v>122</v>
      </c>
      <c r="I8" s="303" t="s">
        <v>122</v>
      </c>
      <c r="K8" s="7" t="s">
        <v>16</v>
      </c>
    </row>
    <row r="9" spans="1:11" ht="18" customHeight="1" x14ac:dyDescent="0.2">
      <c r="A9" s="33" t="str">
        <f>OVERALL!A9</f>
        <v>NAME</v>
      </c>
      <c r="B9" s="3">
        <f>IF(C9=0,"-",COUNTIF(D9:I9,"y")/C9)</f>
        <v>0.16666666666666666</v>
      </c>
      <c r="C9" s="26">
        <f>$C$2-COUNTIF(D9:I9, "-")</f>
        <v>6</v>
      </c>
      <c r="D9" s="306" t="s">
        <v>122</v>
      </c>
      <c r="E9" s="298" t="s">
        <v>122</v>
      </c>
      <c r="F9" s="294" t="s">
        <v>122</v>
      </c>
      <c r="G9" s="292" t="s">
        <v>123</v>
      </c>
      <c r="H9" s="300" t="s">
        <v>122</v>
      </c>
      <c r="I9" s="303" t="s">
        <v>122</v>
      </c>
      <c r="K9" t="s">
        <v>1</v>
      </c>
    </row>
    <row r="10" spans="1:11" ht="18" customHeight="1" x14ac:dyDescent="0.2">
      <c r="A10" s="33" t="str">
        <f>OVERALL!A10</f>
        <v>BRIDGE</v>
      </c>
      <c r="B10" s="3">
        <f>IF(C10=0,"-",COUNTIF(D10:I10,"y")/C10)</f>
        <v>0</v>
      </c>
      <c r="C10" s="26">
        <f>$C$2-COUNTIF(D10:I10, "-")</f>
        <v>6</v>
      </c>
      <c r="D10" s="306" t="s">
        <v>122</v>
      </c>
      <c r="E10" s="298" t="s">
        <v>122</v>
      </c>
      <c r="F10" s="294" t="s">
        <v>122</v>
      </c>
      <c r="G10" s="292" t="s">
        <v>122</v>
      </c>
      <c r="H10" s="300" t="s">
        <v>122</v>
      </c>
      <c r="I10" s="303"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4"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4" t="s">
        <v>123</v>
      </c>
      <c r="G14" s="292" t="s">
        <v>123</v>
      </c>
      <c r="H14" s="300" t="s">
        <v>123</v>
      </c>
      <c r="I14" s="303" t="s">
        <v>123</v>
      </c>
      <c r="K14" s="9" t="s">
        <v>14</v>
      </c>
    </row>
    <row r="15" spans="1:11" ht="18" customHeight="1" x14ac:dyDescent="0.2">
      <c r="A15" s="33" t="str">
        <f>OVERALL!A15</f>
        <v>CONFIRM</v>
      </c>
      <c r="B15" s="3">
        <f>IF(C15=0,"-",COUNTIF(D15:I15,"y")/C15)</f>
        <v>0</v>
      </c>
      <c r="C15" s="26">
        <f>$C$2-COUNTIF(D15:I15, "-")</f>
        <v>6</v>
      </c>
      <c r="D15" s="306" t="s">
        <v>122</v>
      </c>
      <c r="E15" s="298" t="s">
        <v>122</v>
      </c>
      <c r="F15" s="294" t="s">
        <v>122</v>
      </c>
      <c r="G15" s="292" t="s">
        <v>122</v>
      </c>
      <c r="H15" s="300" t="s">
        <v>122</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0.75</v>
      </c>
      <c r="C17" s="1" t="s">
        <v>1</v>
      </c>
      <c r="D17" s="29" t="str">
        <f>IF(D22=0,"-",(COUNTIF(D18:D21, "y")/D22)*OVERALL!$C$17)</f>
        <v>-</v>
      </c>
      <c r="E17" s="29">
        <f>IF(E22=0,"-",(COUNTIF(E18:E21, "y")/E22)*OVERALL!$C$17)</f>
        <v>0.1875</v>
      </c>
      <c r="F17" s="29">
        <f>IF(F22=0,"-",(COUNTIF(F18:F21, "y")/F22)*OVERALL!$C$17)</f>
        <v>0.1875</v>
      </c>
      <c r="G17" s="29">
        <f>IF(G22=0,"-",(COUNTIF(G18:G21, "y")/G22)*OVERALL!$C$17)</f>
        <v>0.25</v>
      </c>
      <c r="H17" s="29">
        <f>IF(H22=0,"-",(COUNTIF(H18:H21, "y")/H22)*OVERALL!$C$17)</f>
        <v>0.125</v>
      </c>
      <c r="I17" s="29">
        <f>IF(I22=0,"-",(COUNTIF(I18:I21, "y")/I22)*OVERALL!$C$17)</f>
        <v>0.1875</v>
      </c>
      <c r="K17" s="9" t="s">
        <v>6</v>
      </c>
    </row>
    <row r="18" spans="1:14" ht="18" customHeight="1" x14ac:dyDescent="0.2">
      <c r="A18" s="33" t="str">
        <f>OVERALL!A18</f>
        <v>INFORM</v>
      </c>
      <c r="B18" s="3">
        <f>IF(C18=0,"-",COUNTIF(D18:I18,"y")/C18)</f>
        <v>0.8</v>
      </c>
      <c r="C18" s="26">
        <f>$C$2-COUNTIF(D18:I18, "-")</f>
        <v>5</v>
      </c>
      <c r="D18" s="306" t="s">
        <v>78</v>
      </c>
      <c r="E18" s="298" t="s">
        <v>123</v>
      </c>
      <c r="F18" s="294" t="s">
        <v>123</v>
      </c>
      <c r="G18" s="292" t="s">
        <v>123</v>
      </c>
      <c r="H18" s="300" t="s">
        <v>122</v>
      </c>
      <c r="I18" s="303" t="s">
        <v>123</v>
      </c>
    </row>
    <row r="19" spans="1:14" ht="18" customHeight="1" x14ac:dyDescent="0.2">
      <c r="A19" s="33" t="str">
        <f>OVERALL!A19</f>
        <v>CHECK</v>
      </c>
      <c r="B19" s="3">
        <f>IF(C19=0,"-",COUNTIF(D19:I19,"y")/C19)</f>
        <v>0.2</v>
      </c>
      <c r="C19" s="26">
        <f>$C$2-COUNTIF(D19:I19, "-")</f>
        <v>5</v>
      </c>
      <c r="D19" s="306" t="s">
        <v>78</v>
      </c>
      <c r="E19" s="298" t="s">
        <v>122</v>
      </c>
      <c r="F19" s="294" t="s">
        <v>122</v>
      </c>
      <c r="G19" s="292" t="s">
        <v>123</v>
      </c>
      <c r="H19" s="300" t="s">
        <v>122</v>
      </c>
      <c r="I19" s="303" t="s">
        <v>122</v>
      </c>
    </row>
    <row r="20" spans="1:14" ht="18" customHeight="1" x14ac:dyDescent="0.2">
      <c r="A20" s="33" t="str">
        <f>OVERALL!A20</f>
        <v>SEEK</v>
      </c>
      <c r="B20" s="3">
        <f>IF(C20=0,"-",COUNTIF(D20:I20,"y")/C20)</f>
        <v>1</v>
      </c>
      <c r="C20" s="26">
        <f>$C$2-COUNTIF(D20:I20, "-")</f>
        <v>5</v>
      </c>
      <c r="D20" s="306" t="s">
        <v>78</v>
      </c>
      <c r="E20" s="298" t="s">
        <v>123</v>
      </c>
      <c r="F20" s="294" t="s">
        <v>123</v>
      </c>
      <c r="G20" s="292" t="s">
        <v>123</v>
      </c>
      <c r="H20" s="300" t="s">
        <v>123</v>
      </c>
      <c r="I20" s="303" t="s">
        <v>123</v>
      </c>
      <c r="K20" t="s">
        <v>1</v>
      </c>
    </row>
    <row r="21" spans="1:14" ht="18" customHeight="1" x14ac:dyDescent="0.2">
      <c r="A21" s="33" t="str">
        <f>OVERALL!A21</f>
        <v>CONFIDENCE</v>
      </c>
      <c r="B21" s="3">
        <f>IF(C21=0,"-",COUNTIF(D21:I21,"y")/C21)</f>
        <v>1</v>
      </c>
      <c r="C21" s="26">
        <f>$C$2-COUNTIF(D21:I21, "-")</f>
        <v>5</v>
      </c>
      <c r="D21" s="306" t="s">
        <v>78</v>
      </c>
      <c r="E21" s="298" t="s">
        <v>123</v>
      </c>
      <c r="F21" s="294" t="s">
        <v>123</v>
      </c>
      <c r="G21" s="292" t="s">
        <v>123</v>
      </c>
      <c r="H21" s="300" t="s">
        <v>123</v>
      </c>
      <c r="I21" s="303" t="s">
        <v>123</v>
      </c>
    </row>
    <row r="22" spans="1:14" ht="18" customHeight="1" x14ac:dyDescent="0.2">
      <c r="A22" s="2"/>
      <c r="C22" s="64">
        <f>AVERAGE(C18:C21)</f>
        <v>5</v>
      </c>
      <c r="D22" s="27">
        <f t="shared" ref="D22:I22" si="5">COUNTA(D18:D21)-COUNTIF(D18:D21, "-")</f>
        <v>0</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0.40000000000000008</v>
      </c>
      <c r="C23" s="1" t="s">
        <v>1</v>
      </c>
      <c r="D23" s="29" t="str">
        <f>IF(D27=0,"-",(COUNTIF(D24:D26, "y")/D27)*OVERALL!$C$23)</f>
        <v>-</v>
      </c>
      <c r="E23" s="29">
        <f>IF(E27=0,"-",(COUNTIF(E24:E26, "y")/E27)*OVERALL!$C$23)</f>
        <v>0</v>
      </c>
      <c r="F23" s="29">
        <f>IF(F27=0,"-",(COUNTIF(F24:F26, "y")/F27)*OVERALL!$C$23)</f>
        <v>4.9999999999999996E-2</v>
      </c>
      <c r="G23" s="29">
        <f>IF(G27=0,"-",(COUNTIF(G24:G26, "y")/G27)*OVERALL!$C$23)</f>
        <v>0.15</v>
      </c>
      <c r="H23" s="29">
        <f>IF(H27=0,"-",(COUNTIF(H24:H26, "y")/H27)*OVERALL!$C$23)</f>
        <v>0</v>
      </c>
      <c r="I23" s="29">
        <f>IF(I27=0,"-",(COUNTIF(I24:I26, "y")/I27)*OVERALL!$C$23)</f>
        <v>9.9999999999999992E-2</v>
      </c>
    </row>
    <row r="24" spans="1:14" ht="18" customHeight="1" x14ac:dyDescent="0.2">
      <c r="A24" s="33" t="str">
        <f>OVERALL!A24</f>
        <v>QUESTIONS</v>
      </c>
      <c r="B24" s="3">
        <f>IF(C24=0,"-",COUNTIF(D24:I24,"y")/C24)</f>
        <v>0.4</v>
      </c>
      <c r="C24" s="26">
        <f>$C$2-COUNTIF(D24:I24, "-")</f>
        <v>5</v>
      </c>
      <c r="D24" s="306" t="s">
        <v>78</v>
      </c>
      <c r="E24" s="298" t="s">
        <v>122</v>
      </c>
      <c r="F24" s="294" t="s">
        <v>122</v>
      </c>
      <c r="G24" s="292" t="s">
        <v>123</v>
      </c>
      <c r="H24" s="300" t="s">
        <v>122</v>
      </c>
      <c r="I24" s="303" t="s">
        <v>123</v>
      </c>
    </row>
    <row r="25" spans="1:14" ht="18" customHeight="1" x14ac:dyDescent="0.2">
      <c r="A25" s="33" t="str">
        <f>OVERALL!A25</f>
        <v>GRATITUDE</v>
      </c>
      <c r="B25" s="3">
        <f>IF(C25=0,"-",COUNTIF(D25:I25,"y")/C25)</f>
        <v>0.2</v>
      </c>
      <c r="C25" s="26">
        <f>$C$2-COUNTIF(D25:I25, "-")</f>
        <v>5</v>
      </c>
      <c r="D25" s="306" t="s">
        <v>78</v>
      </c>
      <c r="E25" s="298" t="s">
        <v>122</v>
      </c>
      <c r="F25" s="294" t="s">
        <v>122</v>
      </c>
      <c r="G25" s="292" t="s">
        <v>123</v>
      </c>
      <c r="H25" s="300" t="s">
        <v>122</v>
      </c>
      <c r="I25" s="303" t="s">
        <v>122</v>
      </c>
    </row>
    <row r="26" spans="1:14" ht="18" customHeight="1" x14ac:dyDescent="0.2">
      <c r="A26" s="33" t="str">
        <f>OVERALL!A26</f>
        <v>THANKS</v>
      </c>
      <c r="B26" s="3">
        <f>IF(C26=0,"-",COUNTIF(D26:I26,"y")/C26)</f>
        <v>0.6</v>
      </c>
      <c r="C26" s="26">
        <f>$C$2-COUNTIF(D26:I26, "-")</f>
        <v>5</v>
      </c>
      <c r="D26" s="306" t="s">
        <v>78</v>
      </c>
      <c r="E26" s="298" t="s">
        <v>122</v>
      </c>
      <c r="F26" s="294" t="s">
        <v>123</v>
      </c>
      <c r="G26" s="292" t="s">
        <v>123</v>
      </c>
      <c r="H26" s="300" t="s">
        <v>122</v>
      </c>
      <c r="I26" s="303" t="s">
        <v>123</v>
      </c>
    </row>
    <row r="27" spans="1:14" ht="18" customHeight="1" x14ac:dyDescent="0.2">
      <c r="A27" s="2"/>
      <c r="C27" s="64">
        <f>AVERAGE(C24:C26)</f>
        <v>5</v>
      </c>
      <c r="D27" s="27">
        <f t="shared" ref="D27:I27" si="6">COUNTA(D24:D26)-COUNTIF(D24:D26, "-")</f>
        <v>0</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0.58333333333333337</v>
      </c>
      <c r="C28" s="1" t="s">
        <v>1</v>
      </c>
      <c r="D28" s="29">
        <f>IF(D33=0,"-",(COUNTIF(D29:D32, "y")/D33)*OVERALL!$C$28)</f>
        <v>0.15000000000000002</v>
      </c>
      <c r="E28" s="29">
        <f>IF(E33=0,"-",(COUNTIF(E29:E32, "y")/E33)*OVERALL!$C$28)</f>
        <v>0.1</v>
      </c>
      <c r="F28" s="29">
        <f>IF(F33=0,"-",(COUNTIF(F29:F32, "y")/F33)*OVERALL!$C$28)</f>
        <v>0.15000000000000002</v>
      </c>
      <c r="G28" s="29">
        <f>IF(G33=0,"-",(COUNTIF(G29:G32, "y")/G33)*OVERALL!$C$28)</f>
        <v>0.2</v>
      </c>
      <c r="H28" s="29">
        <f>IF(H33=0,"-",(COUNTIF(H29:H32, "y")/H33)*OVERALL!$C$28)</f>
        <v>0.1</v>
      </c>
      <c r="I28" s="29">
        <f>IF(I33=0,"-",(COUNTIF(I29:I32, "y")/I33)*OVERALL!$C$28)</f>
        <v>0</v>
      </c>
    </row>
    <row r="29" spans="1:14" ht="18" customHeight="1" x14ac:dyDescent="0.2">
      <c r="A29" s="33" t="str">
        <f>OVERALL!A29</f>
        <v>VIBRANCY</v>
      </c>
      <c r="B29" s="3">
        <f>IF(C29=0,"-",COUNTIF(D29:I29,"y")/C29)</f>
        <v>0.66666666666666663</v>
      </c>
      <c r="C29" s="26">
        <f>$C$2-COUNTIF(D29:I29, "-")</f>
        <v>6</v>
      </c>
      <c r="D29" s="306" t="s">
        <v>123</v>
      </c>
      <c r="E29" s="298" t="s">
        <v>122</v>
      </c>
      <c r="F29" s="294" t="s">
        <v>123</v>
      </c>
      <c r="G29" s="292" t="s">
        <v>123</v>
      </c>
      <c r="H29" s="300" t="s">
        <v>123</v>
      </c>
      <c r="I29" s="303" t="s">
        <v>122</v>
      </c>
    </row>
    <row r="30" spans="1:14" ht="18" customHeight="1" x14ac:dyDescent="0.2">
      <c r="A30" s="33" t="str">
        <f>OVERALL!A30</f>
        <v>EMPATHY</v>
      </c>
      <c r="B30" s="3">
        <f>IF(C30=0,"-",COUNTIF(D30:I30,"y")/C30)</f>
        <v>0.33333333333333331</v>
      </c>
      <c r="C30" s="26">
        <f>$C$2-COUNTIF(D30:I30, "-")</f>
        <v>6</v>
      </c>
      <c r="D30" s="306" t="s">
        <v>122</v>
      </c>
      <c r="E30" s="298" t="s">
        <v>122</v>
      </c>
      <c r="F30" s="294" t="s">
        <v>123</v>
      </c>
      <c r="G30" s="292" t="s">
        <v>123</v>
      </c>
      <c r="H30" s="300" t="s">
        <v>122</v>
      </c>
      <c r="I30" s="303" t="s">
        <v>122</v>
      </c>
    </row>
    <row r="31" spans="1:14" ht="18" customHeight="1" x14ac:dyDescent="0.2">
      <c r="A31" s="33" t="str">
        <f>OVERALL!A31</f>
        <v>CONTROL</v>
      </c>
      <c r="B31" s="3">
        <f>IF(C31=0,"-",COUNTIF(D31:I31,"y")/C31)</f>
        <v>0.5</v>
      </c>
      <c r="C31" s="26">
        <f>$C$2-COUNTIF(D31:I31, "-")</f>
        <v>6</v>
      </c>
      <c r="D31" s="306" t="s">
        <v>123</v>
      </c>
      <c r="E31" s="298" t="s">
        <v>123</v>
      </c>
      <c r="F31" s="294" t="s">
        <v>122</v>
      </c>
      <c r="G31" s="292" t="s">
        <v>123</v>
      </c>
      <c r="H31" s="300" t="s">
        <v>122</v>
      </c>
      <c r="I31" s="303" t="s">
        <v>122</v>
      </c>
    </row>
    <row r="32" spans="1:14" ht="18" customHeight="1" x14ac:dyDescent="0.2">
      <c r="A32" s="33" t="str">
        <f>OVERALL!A32</f>
        <v>CLARITY</v>
      </c>
      <c r="B32" s="3">
        <f>IF(C32=0,"-",COUNTIF(D32:I32,"y")/C32)</f>
        <v>0.83333333333333337</v>
      </c>
      <c r="C32" s="26">
        <f>$C$2-COUNTIF(D32:I32, "-")</f>
        <v>6</v>
      </c>
      <c r="D32" s="306" t="s">
        <v>123</v>
      </c>
      <c r="E32" s="298" t="s">
        <v>123</v>
      </c>
      <c r="F32" s="294" t="s">
        <v>123</v>
      </c>
      <c r="G32" s="292" t="s">
        <v>123</v>
      </c>
      <c r="H32" s="300" t="s">
        <v>123</v>
      </c>
      <c r="I32" s="303"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0.16666666666666666</v>
      </c>
      <c r="C34" s="1" t="s">
        <v>1</v>
      </c>
      <c r="D34" s="44">
        <f t="shared" ref="D34:I34" si="8">IF(D37=0,"-",IF(D37="","-",IF(D35="y",$K$35,IF(D36="y",$K$36,0%))))</f>
        <v>-0.3</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0.16666666666666666</v>
      </c>
      <c r="C35" s="26">
        <f>$C$2-COUNTIF(D35:I35, "-")</f>
        <v>6</v>
      </c>
      <c r="D35" s="306" t="s">
        <v>123</v>
      </c>
      <c r="E35" s="298" t="s">
        <v>122</v>
      </c>
      <c r="F35" s="294"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v>
      </c>
      <c r="C36" s="26">
        <f>$C$2-COUNTIF(D36:I36, "-")</f>
        <v>6</v>
      </c>
      <c r="D36" s="306" t="s">
        <v>122</v>
      </c>
      <c r="E36" s="298" t="s">
        <v>122</v>
      </c>
      <c r="F36" s="294"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1</v>
      </c>
      <c r="E37" s="27">
        <f t="shared" si="9"/>
        <v>0</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4" t="s">
        <v>123</v>
      </c>
      <c r="G39" s="292" t="s">
        <v>123</v>
      </c>
      <c r="H39" s="300" t="s">
        <v>123</v>
      </c>
      <c r="I39" s="303" t="s">
        <v>123</v>
      </c>
      <c r="K39" s="291"/>
    </row>
    <row r="40" spans="1:16" ht="18" customHeight="1" x14ac:dyDescent="0.2">
      <c r="A40" s="33" t="str">
        <f>OVERALL!A40</f>
        <v>TALK TIME</v>
      </c>
      <c r="B40" s="282">
        <f>IF(C40=0,"-",AVERAGE(D40:I40))</f>
        <v>3.8329475308641978E-3</v>
      </c>
      <c r="C40" s="26">
        <f t="shared" si="10"/>
        <v>6</v>
      </c>
      <c r="D40" s="286">
        <v>7.0717592592592594E-3</v>
      </c>
      <c r="E40" s="286">
        <v>1.6898148148148148E-3</v>
      </c>
      <c r="F40" s="286">
        <v>5.0347222222222225E-3</v>
      </c>
      <c r="G40" s="286">
        <v>2.9050925925925928E-3</v>
      </c>
      <c r="H40" s="286">
        <v>2.5810185185185185E-3</v>
      </c>
      <c r="I40" s="286">
        <v>3.7152777777777778E-3</v>
      </c>
      <c r="J40" s="46"/>
      <c r="K40" s="266"/>
      <c r="L40" s="266"/>
      <c r="M40" s="266"/>
      <c r="N40" s="266"/>
      <c r="O40" s="266"/>
      <c r="P40" s="266"/>
    </row>
    <row r="41" spans="1:16" ht="18" customHeight="1" x14ac:dyDescent="0.2">
      <c r="A41" s="33" t="str">
        <f>OVERALL!A41</f>
        <v>ASSESSOR RATING (0-10)</v>
      </c>
      <c r="B41" s="288">
        <f>IF(C41=0,"-",SUM(D41:I41)/C41)</f>
        <v>4.166666666666667</v>
      </c>
      <c r="C41" s="26">
        <f t="shared" si="10"/>
        <v>6</v>
      </c>
      <c r="D41" s="290">
        <v>2</v>
      </c>
      <c r="E41" s="290">
        <v>4</v>
      </c>
      <c r="F41" s="296">
        <v>5</v>
      </c>
      <c r="G41" s="290">
        <v>7</v>
      </c>
      <c r="H41" s="290">
        <v>3</v>
      </c>
      <c r="I41" s="290">
        <v>4</v>
      </c>
    </row>
    <row r="42" spans="1:16" ht="18" customHeight="1" x14ac:dyDescent="0.2">
      <c r="A42" s="33" t="str">
        <f>OVERALL!A42</f>
        <v>EXPLAINED KEY FEATURES</v>
      </c>
      <c r="B42" s="3">
        <f>IF(C42=0,"-",COUNTIF(D42:I42, "y")/C42)</f>
        <v>0.16666666666666666</v>
      </c>
      <c r="C42" s="26">
        <f t="shared" si="10"/>
        <v>6</v>
      </c>
      <c r="D42" s="306" t="s">
        <v>122</v>
      </c>
      <c r="E42" s="298" t="s">
        <v>122</v>
      </c>
      <c r="F42" s="294" t="s">
        <v>122</v>
      </c>
      <c r="G42" s="292" t="s">
        <v>122</v>
      </c>
      <c r="H42" s="300" t="s">
        <v>122</v>
      </c>
      <c r="I42" s="303" t="s">
        <v>123</v>
      </c>
      <c r="J42" s="47"/>
      <c r="K42" t="s">
        <v>1</v>
      </c>
    </row>
    <row r="43" spans="1:16" ht="18" customHeight="1" x14ac:dyDescent="0.2">
      <c r="A43" s="33" t="str">
        <f>OVERALL!A43</f>
        <v>REVEALED PRICING</v>
      </c>
      <c r="B43" s="3">
        <f>IF(C43=0,"-",COUNTIF(D43:I43, "y")/C43)</f>
        <v>0.66666666666666663</v>
      </c>
      <c r="C43" s="26">
        <f t="shared" si="10"/>
        <v>6</v>
      </c>
      <c r="D43" s="306" t="s">
        <v>122</v>
      </c>
      <c r="E43" s="298" t="s">
        <v>122</v>
      </c>
      <c r="F43" s="294" t="s">
        <v>123</v>
      </c>
      <c r="G43" s="292" t="s">
        <v>123</v>
      </c>
      <c r="H43" s="300" t="s">
        <v>123</v>
      </c>
      <c r="I43" s="303" t="s">
        <v>123</v>
      </c>
    </row>
    <row r="44" spans="1:16" ht="18" customHeight="1" x14ac:dyDescent="0.2">
      <c r="A44" s="33" t="str">
        <f>OVERALL!A44</f>
        <v>EXPLAINED ACTIONS &amp; PROCESS</v>
      </c>
      <c r="B44" s="3">
        <f>IF(C44=0,"-",COUNTIF(D44:I44, "y")/C44)</f>
        <v>0.66666666666666663</v>
      </c>
      <c r="C44" s="26">
        <f t="shared" si="10"/>
        <v>6</v>
      </c>
      <c r="D44" s="306" t="s">
        <v>122</v>
      </c>
      <c r="E44" s="298" t="s">
        <v>123</v>
      </c>
      <c r="F44" s="294" t="s">
        <v>123</v>
      </c>
      <c r="G44" s="292" t="s">
        <v>123</v>
      </c>
      <c r="H44" s="300" t="s">
        <v>122</v>
      </c>
      <c r="I44" s="303" t="s">
        <v>123</v>
      </c>
    </row>
    <row r="45" spans="1:16" ht="18" customHeight="1" x14ac:dyDescent="0.2">
      <c r="A45" s="33" t="str">
        <f>OVERALL!A45</f>
        <v>WEBSITE EDUCATION</v>
      </c>
      <c r="B45" s="3">
        <f>IF(C45=0,"-",COUNTIF(D45:I45, "y")/C45)</f>
        <v>0.16666666666666666</v>
      </c>
      <c r="C45" s="26">
        <f t="shared" si="10"/>
        <v>6</v>
      </c>
      <c r="D45" s="306" t="s">
        <v>122</v>
      </c>
      <c r="E45" s="298" t="s">
        <v>123</v>
      </c>
      <c r="F45" s="294" t="s">
        <v>122</v>
      </c>
      <c r="G45" s="292" t="s">
        <v>122</v>
      </c>
      <c r="H45" s="300" t="s">
        <v>122</v>
      </c>
      <c r="I45" s="303" t="s">
        <v>122</v>
      </c>
    </row>
    <row r="46" spans="1:16" ht="18" customHeight="1" x14ac:dyDescent="0.2">
      <c r="A46" s="18"/>
      <c r="B46" s="3"/>
      <c r="C46" s="26"/>
      <c r="D46" s="264"/>
      <c r="E46" s="264"/>
      <c r="F46" s="264"/>
      <c r="G46" s="264"/>
      <c r="H46" s="264"/>
      <c r="I46" s="264"/>
    </row>
    <row r="47" spans="1:16" ht="270" x14ac:dyDescent="0.2">
      <c r="A47" s="25" t="s">
        <v>1</v>
      </c>
      <c r="B47" s="350" t="s">
        <v>36</v>
      </c>
      <c r="C47" s="351"/>
      <c r="D47" s="23" t="s">
        <v>201</v>
      </c>
      <c r="E47" s="23" t="s">
        <v>159</v>
      </c>
      <c r="F47" s="23" t="s">
        <v>145</v>
      </c>
      <c r="G47" s="23" t="s">
        <v>131</v>
      </c>
      <c r="H47" s="23" t="s">
        <v>172</v>
      </c>
      <c r="I47" s="23" t="s">
        <v>185</v>
      </c>
    </row>
    <row r="48" spans="1:16" ht="18" customHeight="1" x14ac:dyDescent="0.2">
      <c r="A48" s="60" t="s">
        <v>48</v>
      </c>
      <c r="D48" s="51">
        <f t="shared" ref="D48:I48" si="11">IF(D$2="","",IF(D$39="n", "", SUM(D$6,D$12,D$17,D$23,D$28,D$34)))</f>
        <v>-3.333333333333327E-2</v>
      </c>
      <c r="E48" s="51">
        <f t="shared" si="11"/>
        <v>0.40416666666666667</v>
      </c>
      <c r="F48" s="51">
        <f t="shared" si="11"/>
        <v>0.5541666666666667</v>
      </c>
      <c r="G48" s="51">
        <f t="shared" si="11"/>
        <v>0.76666666666666661</v>
      </c>
      <c r="H48" s="51">
        <f t="shared" si="11"/>
        <v>0.34166666666666667</v>
      </c>
      <c r="I48" s="51">
        <f t="shared" si="11"/>
        <v>0.40416666666666667</v>
      </c>
    </row>
    <row r="50" spans="1:9" ht="19" x14ac:dyDescent="0.25">
      <c r="A50" s="111" t="s">
        <v>75</v>
      </c>
      <c r="B50" s="91" t="s">
        <v>76</v>
      </c>
    </row>
    <row r="51" spans="1:9" x14ac:dyDescent="0.2">
      <c r="A51" s="112" t="s">
        <v>64</v>
      </c>
      <c r="B51" s="113">
        <v>0.3</v>
      </c>
      <c r="C51" s="112"/>
      <c r="D51" s="257">
        <f>[1]ORIGIN!D$4</f>
        <v>0.77500000000000002</v>
      </c>
      <c r="E51" s="257">
        <f>[1]ORIGIN!E$4</f>
        <v>0.60089285714285712</v>
      </c>
      <c r="F51" s="257">
        <f>[1]ORIGIN!F$4</f>
        <v>0.68125000000000002</v>
      </c>
      <c r="G51" s="257">
        <f>[1]ORIGIN!G$4</f>
        <v>0.55089285714285718</v>
      </c>
      <c r="H51" s="257">
        <f>[1]ORIGIN!H$4</f>
        <v>0.60089285714285712</v>
      </c>
      <c r="I51" s="257">
        <f>[1]ORIGIN!I$4</f>
        <v>0.74375000000000002</v>
      </c>
    </row>
    <row r="52" spans="1:9" x14ac:dyDescent="0.2">
      <c r="A52" s="112" t="s">
        <v>65</v>
      </c>
      <c r="B52" s="113">
        <v>0.7</v>
      </c>
      <c r="C52" s="112"/>
      <c r="D52" s="258">
        <f t="shared" ref="D52:I52" si="12">D4</f>
        <v>0</v>
      </c>
      <c r="E52" s="258">
        <f t="shared" si="12"/>
        <v>0.40416666666666667</v>
      </c>
      <c r="F52" s="258">
        <f t="shared" si="12"/>
        <v>0.5541666666666667</v>
      </c>
      <c r="G52" s="258">
        <f t="shared" si="12"/>
        <v>0.76666666666666661</v>
      </c>
      <c r="H52" s="258">
        <f t="shared" si="12"/>
        <v>0.34166666666666667</v>
      </c>
      <c r="I52" s="258">
        <f t="shared" si="12"/>
        <v>0.40416666666666667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0.23249999999999998</v>
      </c>
      <c r="E55" s="258">
        <f t="shared" ref="E55:I55" si="13">IF(E51="-","-",E51*$B$51)</f>
        <v>0.18026785714285712</v>
      </c>
      <c r="F55" s="258">
        <f t="shared" si="13"/>
        <v>0.204375</v>
      </c>
      <c r="G55" s="258">
        <f t="shared" si="13"/>
        <v>0.16526785714285716</v>
      </c>
      <c r="H55" s="258">
        <f t="shared" si="13"/>
        <v>0.18026785714285712</v>
      </c>
      <c r="I55" s="258">
        <f t="shared" si="13"/>
        <v>0.22312499999999999</v>
      </c>
    </row>
    <row r="56" spans="1:9" x14ac:dyDescent="0.2">
      <c r="A56" s="112" t="s">
        <v>65</v>
      </c>
      <c r="B56" s="112"/>
      <c r="C56" s="112"/>
      <c r="D56" s="258">
        <f t="shared" ref="D56:I56" si="14">IF(D52="-","-",D52*$B$52)</f>
        <v>0</v>
      </c>
      <c r="E56" s="258">
        <f t="shared" si="14"/>
        <v>0.28291666666666665</v>
      </c>
      <c r="F56" s="258">
        <f t="shared" si="14"/>
        <v>0.38791666666666669</v>
      </c>
      <c r="G56" s="258">
        <f t="shared" si="14"/>
        <v>0.53666666666666663</v>
      </c>
      <c r="H56" s="258">
        <f t="shared" si="14"/>
        <v>0.23916666666666667</v>
      </c>
      <c r="I56" s="258">
        <f t="shared" si="14"/>
        <v>0.28291666666666665</v>
      </c>
    </row>
    <row r="57" spans="1:9" x14ac:dyDescent="0.2">
      <c r="A57" s="115" t="s">
        <v>60</v>
      </c>
      <c r="B57" s="115"/>
      <c r="C57" s="115"/>
      <c r="D57" s="116">
        <f t="shared" ref="D57:I57" si="15">IF(D51="","",IF(D52="","",SUM(D55:D56)))</f>
        <v>0.23249999999999998</v>
      </c>
      <c r="E57" s="116">
        <f t="shared" si="15"/>
        <v>0.4631845238095238</v>
      </c>
      <c r="F57" s="116">
        <f t="shared" si="15"/>
        <v>0.59229166666666666</v>
      </c>
      <c r="G57" s="116">
        <f t="shared" si="15"/>
        <v>0.70193452380952381</v>
      </c>
      <c r="H57" s="116">
        <f t="shared" si="15"/>
        <v>0.41943452380952378</v>
      </c>
      <c r="I57" s="116">
        <f t="shared" si="15"/>
        <v>0.50604166666666661</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H48" sqref="H4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202</v>
      </c>
      <c r="E2" s="297" t="s">
        <v>160</v>
      </c>
      <c r="F2" s="297" t="s">
        <v>146</v>
      </c>
      <c r="G2" s="293" t="s">
        <v>132</v>
      </c>
      <c r="H2" s="301" t="s">
        <v>173</v>
      </c>
      <c r="I2" s="304" t="s">
        <v>192</v>
      </c>
    </row>
    <row r="3" spans="1:11" ht="19" x14ac:dyDescent="0.2">
      <c r="A3" s="32" t="str">
        <f>OVERALL!H1</f>
        <v>RED ENERGY</v>
      </c>
      <c r="B3" s="249">
        <f>OVERALL!H3</f>
        <v>0.64871527777777782</v>
      </c>
      <c r="C3" s="109" t="s">
        <v>74</v>
      </c>
      <c r="D3" s="110">
        <f>IF(D2="-","-",D57)</f>
        <v>0.63104166666666672</v>
      </c>
      <c r="E3" s="110">
        <f t="shared" ref="E3:I3" si="0">IF(E2="-","-",E57)</f>
        <v>0.31604166666666667</v>
      </c>
      <c r="F3" s="110">
        <f t="shared" si="0"/>
        <v>0.72895833333333337</v>
      </c>
      <c r="G3" s="110">
        <f t="shared" si="0"/>
        <v>0.73604166666666671</v>
      </c>
      <c r="H3" s="110">
        <f t="shared" si="0"/>
        <v>0.66541666666666655</v>
      </c>
      <c r="I3" s="110">
        <f t="shared" si="0"/>
        <v>0.81479166666666658</v>
      </c>
    </row>
    <row r="4" spans="1:11" ht="18" customHeight="1" x14ac:dyDescent="0.2">
      <c r="A4" s="17" t="str">
        <f>OVERALL!A4</f>
        <v>QUALITY SCORE</v>
      </c>
      <c r="B4" s="38">
        <f>IF(C2=0, "-", IF(COUNTIF(D39:I39, "n")=C2, "-", IF(COUNT(D4:I4)=0, "-", AVERAGE(D4:I4))))</f>
        <v>0.53611111111111109</v>
      </c>
      <c r="C4" s="59" t="s">
        <v>1</v>
      </c>
      <c r="D4" s="38">
        <f>IF(D48&lt;0%,0%,IF(D$2="-","-",IF(D$39="n", "-", SUM(D$6,D$12,D$17,D$23,D$28,D$34))))</f>
        <v>0.50416666666666676</v>
      </c>
      <c r="E4" s="38">
        <f t="shared" ref="E4:I4" si="1">IF(E48&lt;0%,0%,IF(E$2="-","-",IF(E$39="n", "-", SUM(E$6,E$12,E$17,E$23,E$28,E$34))))</f>
        <v>5.4166666666666641E-2</v>
      </c>
      <c r="F4" s="38">
        <f t="shared" si="1"/>
        <v>0.67083333333333339</v>
      </c>
      <c r="G4" s="38">
        <f t="shared" si="1"/>
        <v>0.65416666666666667</v>
      </c>
      <c r="H4" s="38">
        <f t="shared" si="1"/>
        <v>0.56666666666666665</v>
      </c>
      <c r="I4" s="38">
        <f t="shared" si="1"/>
        <v>0.76666666666666661</v>
      </c>
      <c r="K4" s="12" t="s">
        <v>8</v>
      </c>
    </row>
    <row r="5" spans="1:11" ht="18" customHeight="1" x14ac:dyDescent="0.25">
      <c r="A5" s="58" t="s">
        <v>49</v>
      </c>
      <c r="B5" s="59">
        <f>IF(B6="-","-",AVERAGE(D5:I5))</f>
        <v>0.60277777777777786</v>
      </c>
      <c r="C5" s="59" t="s">
        <v>1</v>
      </c>
      <c r="D5" s="61">
        <f t="shared" ref="D5:I5" si="2">IF(D$2="","",IF(D$39="n", "", SUM(D$6,D$12,D$17,D$23,D$28)))</f>
        <v>0.60416666666666674</v>
      </c>
      <c r="E5" s="61">
        <f t="shared" si="2"/>
        <v>0.35416666666666663</v>
      </c>
      <c r="F5" s="61">
        <f t="shared" si="2"/>
        <v>0.67083333333333339</v>
      </c>
      <c r="G5" s="61">
        <f t="shared" si="2"/>
        <v>0.65416666666666667</v>
      </c>
      <c r="H5" s="61">
        <f t="shared" si="2"/>
        <v>0.56666666666666665</v>
      </c>
      <c r="I5" s="61">
        <f t="shared" si="2"/>
        <v>0.76666666666666661</v>
      </c>
      <c r="K5" s="7" t="s">
        <v>17</v>
      </c>
    </row>
    <row r="6" spans="1:11" ht="18" customHeight="1" x14ac:dyDescent="0.2">
      <c r="A6" s="20" t="str">
        <f>OVERALL!A6</f>
        <v>ENGAGE</v>
      </c>
      <c r="B6" s="21">
        <f>IF(C11=0,"-",AVERAGE(B7:B10))</f>
        <v>0.375</v>
      </c>
      <c r="C6" s="62" t="s">
        <v>0</v>
      </c>
      <c r="D6" s="28">
        <f>IF(D11=0,"-",(COUNTIF(D7:D10, "y")/D11)*OVERALL!$C$6)</f>
        <v>0.1</v>
      </c>
      <c r="E6" s="28">
        <f>IF(E11=0,"-",(COUNTIF(E7:E10, "y")/E11)*OVERALL!$C$6)</f>
        <v>0</v>
      </c>
      <c r="F6" s="28">
        <f>IF(F11=0,"-",(COUNTIF(F7:F10, "y")/F11)*OVERALL!$C$6)</f>
        <v>0.05</v>
      </c>
      <c r="G6" s="28">
        <f>IF(G11=0,"-",(COUNTIF(G7:G10, "y")/G11)*OVERALL!$C$6)</f>
        <v>0.1</v>
      </c>
      <c r="H6" s="28">
        <f>IF(H11=0,"-",(COUNTIF(H7:H10, "y")/H11)*OVERALL!$C$6)</f>
        <v>0.05</v>
      </c>
      <c r="I6" s="28">
        <f>IF(I11=0,"-",(COUNTIF(I7:I10, "y")/I11)*OVERALL!$C$6)</f>
        <v>0.15000000000000002</v>
      </c>
    </row>
    <row r="7" spans="1:11" ht="18" customHeight="1" x14ac:dyDescent="0.2">
      <c r="A7" s="33" t="str">
        <f>OVERALL!A7</f>
        <v>WELCOME</v>
      </c>
      <c r="B7" s="3">
        <f>IF(C7=0,"-",COUNTIF(D7:I7,"y")/C7)</f>
        <v>0.83333333333333337</v>
      </c>
      <c r="C7" s="26">
        <f>$C$2-COUNTIF(D7:I7, "-")</f>
        <v>6</v>
      </c>
      <c r="D7" s="306" t="s">
        <v>123</v>
      </c>
      <c r="E7" s="298" t="s">
        <v>122</v>
      </c>
      <c r="F7" s="298" t="s">
        <v>123</v>
      </c>
      <c r="G7" s="292" t="s">
        <v>123</v>
      </c>
      <c r="H7" s="300" t="s">
        <v>123</v>
      </c>
      <c r="I7" s="303" t="s">
        <v>123</v>
      </c>
      <c r="K7" s="11" t="s">
        <v>2</v>
      </c>
    </row>
    <row r="8" spans="1:11" ht="18" customHeight="1" x14ac:dyDescent="0.25">
      <c r="A8" s="33" t="str">
        <f>OVERALL!A8</f>
        <v>INTENT</v>
      </c>
      <c r="B8" s="3">
        <f>IF(C8=0,"-",COUNTIF(D8:I8,"y")/C8)</f>
        <v>0.16666666666666666</v>
      </c>
      <c r="C8" s="26">
        <f>$C$2-COUNTIF(D8:I8, "-")</f>
        <v>6</v>
      </c>
      <c r="D8" s="306" t="s">
        <v>122</v>
      </c>
      <c r="E8" s="298" t="s">
        <v>122</v>
      </c>
      <c r="F8" s="298" t="s">
        <v>122</v>
      </c>
      <c r="G8" s="292" t="s">
        <v>122</v>
      </c>
      <c r="H8" s="300" t="s">
        <v>122</v>
      </c>
      <c r="I8" s="303" t="s">
        <v>123</v>
      </c>
      <c r="K8" s="7" t="s">
        <v>16</v>
      </c>
    </row>
    <row r="9" spans="1:11" ht="18" customHeight="1" x14ac:dyDescent="0.2">
      <c r="A9" s="33" t="str">
        <f>OVERALL!A9</f>
        <v>NAME</v>
      </c>
      <c r="B9" s="3">
        <f>IF(C9=0,"-",COUNTIF(D9:I9,"y")/C9)</f>
        <v>0.5</v>
      </c>
      <c r="C9" s="26">
        <f>$C$2-COUNTIF(D9:I9, "-")</f>
        <v>6</v>
      </c>
      <c r="D9" s="306" t="s">
        <v>123</v>
      </c>
      <c r="E9" s="298" t="s">
        <v>122</v>
      </c>
      <c r="F9" s="298" t="s">
        <v>122</v>
      </c>
      <c r="G9" s="292" t="s">
        <v>123</v>
      </c>
      <c r="H9" s="300" t="s">
        <v>122</v>
      </c>
      <c r="I9" s="303" t="s">
        <v>123</v>
      </c>
      <c r="K9" t="s">
        <v>1</v>
      </c>
    </row>
    <row r="10" spans="1:11" ht="18" customHeight="1" x14ac:dyDescent="0.2">
      <c r="A10" s="33" t="str">
        <f>OVERALL!A10</f>
        <v>BRIDGE</v>
      </c>
      <c r="B10" s="3">
        <f>IF(C10=0,"-",COUNTIF(D10:I10,"y")/C10)</f>
        <v>0</v>
      </c>
      <c r="C10" s="26">
        <f>$C$2-COUNTIF(D10:I10, "-")</f>
        <v>6</v>
      </c>
      <c r="D10" s="306" t="s">
        <v>122</v>
      </c>
      <c r="E10" s="298" t="s">
        <v>122</v>
      </c>
      <c r="F10" s="298" t="s">
        <v>122</v>
      </c>
      <c r="G10" s="292" t="s">
        <v>122</v>
      </c>
      <c r="H10" s="300" t="s">
        <v>122</v>
      </c>
      <c r="I10" s="303"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6" t="s">
        <v>122</v>
      </c>
      <c r="E13" s="298" t="s">
        <v>122</v>
      </c>
      <c r="F13" s="298" t="s">
        <v>122</v>
      </c>
      <c r="G13" s="292" t="s">
        <v>122</v>
      </c>
      <c r="H13" s="300" t="s">
        <v>122</v>
      </c>
      <c r="I13" s="303" t="s">
        <v>122</v>
      </c>
      <c r="K13" s="14" t="s">
        <v>4</v>
      </c>
    </row>
    <row r="14" spans="1:11" ht="18" customHeight="1" x14ac:dyDescent="0.25">
      <c r="A14" s="33" t="str">
        <f>OVERALL!A14</f>
        <v>LISTEN</v>
      </c>
      <c r="B14" s="3">
        <f>IF(C14=0,"-",COUNTIF(D14:I14,"y")/C14)</f>
        <v>1</v>
      </c>
      <c r="C14" s="26">
        <f>$C$2-COUNTIF(D14:I14, "-")</f>
        <v>6</v>
      </c>
      <c r="D14" s="306" t="s">
        <v>123</v>
      </c>
      <c r="E14" s="298" t="s">
        <v>123</v>
      </c>
      <c r="F14" s="298" t="s">
        <v>123</v>
      </c>
      <c r="G14" s="292" t="s">
        <v>123</v>
      </c>
      <c r="H14" s="300" t="s">
        <v>123</v>
      </c>
      <c r="I14" s="303" t="s">
        <v>123</v>
      </c>
      <c r="K14" s="9" t="s">
        <v>14</v>
      </c>
    </row>
    <row r="15" spans="1:11" ht="18" customHeight="1" x14ac:dyDescent="0.2">
      <c r="A15" s="33" t="str">
        <f>OVERALL!A15</f>
        <v>CONFIRM</v>
      </c>
      <c r="B15" s="3">
        <f>IF(C15=0,"-",COUNTIF(D15:I15,"y")/C15)</f>
        <v>0.16666666666666666</v>
      </c>
      <c r="C15" s="26">
        <f>$C$2-COUNTIF(D15:I15, "-")</f>
        <v>6</v>
      </c>
      <c r="D15" s="306" t="s">
        <v>122</v>
      </c>
      <c r="E15" s="298" t="s">
        <v>122</v>
      </c>
      <c r="F15" s="298" t="s">
        <v>123</v>
      </c>
      <c r="G15" s="292" t="s">
        <v>122</v>
      </c>
      <c r="H15" s="300" t="s">
        <v>122</v>
      </c>
      <c r="I15" s="303"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0.83333333333333326</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0.25</v>
      </c>
      <c r="I17" s="29">
        <f>IF(I22=0,"-",(COUNTIF(I18:I21, "y")/I22)*OVERALL!$C$17)</f>
        <v>0.25</v>
      </c>
      <c r="K17" s="9" t="s">
        <v>6</v>
      </c>
    </row>
    <row r="18" spans="1:14" ht="18" customHeight="1" x14ac:dyDescent="0.2">
      <c r="A18" s="33" t="str">
        <f>OVERALL!A18</f>
        <v>INFORM</v>
      </c>
      <c r="B18" s="3">
        <f>IF(C18=0,"-",COUNTIF(D18:I18,"y")/C18)</f>
        <v>1</v>
      </c>
      <c r="C18" s="26">
        <f>$C$2-COUNTIF(D18:I18, "-")</f>
        <v>6</v>
      </c>
      <c r="D18" s="306" t="s">
        <v>123</v>
      </c>
      <c r="E18" s="298" t="s">
        <v>123</v>
      </c>
      <c r="F18" s="298" t="s">
        <v>123</v>
      </c>
      <c r="G18" s="292" t="s">
        <v>123</v>
      </c>
      <c r="H18" s="300" t="s">
        <v>123</v>
      </c>
      <c r="I18" s="303" t="s">
        <v>123</v>
      </c>
    </row>
    <row r="19" spans="1:14" ht="18" customHeight="1" x14ac:dyDescent="0.2">
      <c r="A19" s="33" t="str">
        <f>OVERALL!A19</f>
        <v>CHECK</v>
      </c>
      <c r="B19" s="3">
        <f>IF(C19=0,"-",COUNTIF(D19:I19,"y")/C19)</f>
        <v>0.33333333333333331</v>
      </c>
      <c r="C19" s="26">
        <f>$C$2-COUNTIF(D19:I19, "-")</f>
        <v>6</v>
      </c>
      <c r="D19" s="306" t="s">
        <v>122</v>
      </c>
      <c r="E19" s="298" t="s">
        <v>122</v>
      </c>
      <c r="F19" s="298" t="s">
        <v>122</v>
      </c>
      <c r="G19" s="292" t="s">
        <v>122</v>
      </c>
      <c r="H19" s="300" t="s">
        <v>123</v>
      </c>
      <c r="I19" s="303" t="s">
        <v>123</v>
      </c>
    </row>
    <row r="20" spans="1:14" ht="18" customHeight="1" x14ac:dyDescent="0.2">
      <c r="A20" s="33" t="str">
        <f>OVERALL!A20</f>
        <v>SEEK</v>
      </c>
      <c r="B20" s="3">
        <f>IF(C20=0,"-",COUNTIF(D20:I20,"y")/C20)</f>
        <v>1</v>
      </c>
      <c r="C20" s="26">
        <f>$C$2-COUNTIF(D20:I20, "-")</f>
        <v>6</v>
      </c>
      <c r="D20" s="306" t="s">
        <v>123</v>
      </c>
      <c r="E20" s="298" t="s">
        <v>123</v>
      </c>
      <c r="F20" s="298" t="s">
        <v>123</v>
      </c>
      <c r="G20" s="292" t="s">
        <v>123</v>
      </c>
      <c r="H20" s="300" t="s">
        <v>123</v>
      </c>
      <c r="I20" s="303" t="s">
        <v>123</v>
      </c>
      <c r="K20" t="s">
        <v>1</v>
      </c>
    </row>
    <row r="21" spans="1:14" ht="18" customHeight="1" x14ac:dyDescent="0.2">
      <c r="A21" s="33" t="str">
        <f>OVERALL!A21</f>
        <v>CONFIDENCE</v>
      </c>
      <c r="B21" s="3">
        <f>IF(C21=0,"-",COUNTIF(D21:I21,"y")/C21)</f>
        <v>1</v>
      </c>
      <c r="C21" s="26">
        <f>$C$2-COUNTIF(D21:I21, "-")</f>
        <v>6</v>
      </c>
      <c r="D21" s="306" t="s">
        <v>123</v>
      </c>
      <c r="E21" s="298" t="s">
        <v>123</v>
      </c>
      <c r="F21" s="298"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4.9999999999999996E-2</v>
      </c>
      <c r="E23" s="29">
        <f>IF(E27=0,"-",(COUNTIF(E24:E26, "y")/E27)*OVERALL!$C$23)</f>
        <v>4.9999999999999996E-2</v>
      </c>
      <c r="F23" s="29">
        <f>IF(F27=0,"-",(COUNTIF(F24:F26, "y")/F27)*OVERALL!$C$23)</f>
        <v>9.9999999999999992E-2</v>
      </c>
      <c r="G23" s="29">
        <f>IF(G27=0,"-",(COUNTIF(G24:G26, "y")/G27)*OVERALL!$C$23)</f>
        <v>9.9999999999999992E-2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0.16666666666666666</v>
      </c>
      <c r="C24" s="26">
        <f>$C$2-COUNTIF(D24:I24, "-")</f>
        <v>6</v>
      </c>
      <c r="D24" s="306" t="s">
        <v>122</v>
      </c>
      <c r="E24" s="298" t="s">
        <v>122</v>
      </c>
      <c r="F24" s="298" t="s">
        <v>122</v>
      </c>
      <c r="G24" s="292" t="s">
        <v>122</v>
      </c>
      <c r="H24" s="300" t="s">
        <v>123</v>
      </c>
      <c r="I24" s="303" t="s">
        <v>122</v>
      </c>
    </row>
    <row r="25" spans="1:14" ht="18" customHeight="1" x14ac:dyDescent="0.2">
      <c r="A25" s="33" t="str">
        <f>OVERALL!A25</f>
        <v>GRATITUDE</v>
      </c>
      <c r="B25" s="3">
        <f>IF(C25=0,"-",COUNTIF(D25:I25,"y")/C25)</f>
        <v>0.5</v>
      </c>
      <c r="C25" s="26">
        <f>$C$2-COUNTIF(D25:I25, "-")</f>
        <v>6</v>
      </c>
      <c r="D25" s="306" t="s">
        <v>122</v>
      </c>
      <c r="E25" s="298" t="s">
        <v>122</v>
      </c>
      <c r="F25" s="298" t="s">
        <v>123</v>
      </c>
      <c r="G25" s="292" t="s">
        <v>123</v>
      </c>
      <c r="H25" s="300" t="s">
        <v>122</v>
      </c>
      <c r="I25" s="303" t="s">
        <v>123</v>
      </c>
    </row>
    <row r="26" spans="1:14" ht="18" customHeight="1" x14ac:dyDescent="0.2">
      <c r="A26" s="33" t="str">
        <f>OVERALL!A26</f>
        <v>THANKS</v>
      </c>
      <c r="B26" s="3">
        <f>IF(C26=0,"-",COUNTIF(D26:I26,"y")/C26)</f>
        <v>0.83333333333333337</v>
      </c>
      <c r="C26" s="26">
        <f>$C$2-COUNTIF(D26:I26, "-")</f>
        <v>6</v>
      </c>
      <c r="D26" s="306" t="s">
        <v>123</v>
      </c>
      <c r="E26" s="298" t="s">
        <v>123</v>
      </c>
      <c r="F26" s="298" t="s">
        <v>123</v>
      </c>
      <c r="G26" s="292" t="s">
        <v>123</v>
      </c>
      <c r="H26" s="300" t="s">
        <v>122</v>
      </c>
      <c r="I26" s="303" t="s">
        <v>123</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0.2</v>
      </c>
      <c r="E28" s="29">
        <f>IF(E33=0,"-",(COUNTIF(E29:E32, "y")/E33)*OVERALL!$C$28)</f>
        <v>0.05</v>
      </c>
      <c r="F28" s="29">
        <f>IF(F33=0,"-",(COUNTIF(F29:F32, "y")/F33)*OVERALL!$C$28)</f>
        <v>0.2</v>
      </c>
      <c r="G28" s="29">
        <f>IF(G33=0,"-",(COUNTIF(G29:G32, "y")/G33)*OVERALL!$C$28)</f>
        <v>0.2</v>
      </c>
      <c r="H28" s="29">
        <f>IF(H33=0,"-",(COUNTIF(H29:H32, "y")/H33)*OVERALL!$C$28)</f>
        <v>0.15000000000000002</v>
      </c>
      <c r="I28" s="29">
        <f>IF(I33=0,"-",(COUNTIF(I29:I32, "y")/I33)*OVERALL!$C$28)</f>
        <v>0.2</v>
      </c>
    </row>
    <row r="29" spans="1:14" ht="18" customHeight="1" x14ac:dyDescent="0.2">
      <c r="A29" s="33" t="str">
        <f>OVERALL!A29</f>
        <v>VIBRANCY</v>
      </c>
      <c r="B29" s="3">
        <f>IF(C29=0,"-",COUNTIF(D29:I29,"y")/C29)</f>
        <v>0.83333333333333337</v>
      </c>
      <c r="C29" s="26">
        <f>$C$2-COUNTIF(D29:I29, "-")</f>
        <v>6</v>
      </c>
      <c r="D29" s="306" t="s">
        <v>123</v>
      </c>
      <c r="E29" s="298" t="s">
        <v>123</v>
      </c>
      <c r="F29" s="298" t="s">
        <v>123</v>
      </c>
      <c r="G29" s="292" t="s">
        <v>123</v>
      </c>
      <c r="H29" s="300" t="s">
        <v>122</v>
      </c>
      <c r="I29" s="303" t="s">
        <v>123</v>
      </c>
    </row>
    <row r="30" spans="1:14" ht="18" customHeight="1" x14ac:dyDescent="0.2">
      <c r="A30" s="33" t="str">
        <f>OVERALL!A30</f>
        <v>EMPATHY</v>
      </c>
      <c r="B30" s="3">
        <f>IF(C30=0,"-",COUNTIF(D30:I30,"y")/C30)</f>
        <v>0.83333333333333337</v>
      </c>
      <c r="C30" s="26">
        <f>$C$2-COUNTIF(D30:I30, "-")</f>
        <v>6</v>
      </c>
      <c r="D30" s="306" t="s">
        <v>123</v>
      </c>
      <c r="E30" s="298" t="s">
        <v>122</v>
      </c>
      <c r="F30" s="298" t="s">
        <v>123</v>
      </c>
      <c r="G30" s="292" t="s">
        <v>123</v>
      </c>
      <c r="H30" s="300" t="s">
        <v>123</v>
      </c>
      <c r="I30" s="303" t="s">
        <v>123</v>
      </c>
    </row>
    <row r="31" spans="1:14" ht="18" customHeight="1" x14ac:dyDescent="0.2">
      <c r="A31" s="33" t="str">
        <f>OVERALL!A31</f>
        <v>CONTROL</v>
      </c>
      <c r="B31" s="3">
        <f>IF(C31=0,"-",COUNTIF(D31:I31,"y")/C31)</f>
        <v>0.83333333333333337</v>
      </c>
      <c r="C31" s="26">
        <f>$C$2-COUNTIF(D31:I31, "-")</f>
        <v>6</v>
      </c>
      <c r="D31" s="306" t="s">
        <v>123</v>
      </c>
      <c r="E31" s="298" t="s">
        <v>122</v>
      </c>
      <c r="F31" s="298" t="s">
        <v>123</v>
      </c>
      <c r="G31" s="292" t="s">
        <v>123</v>
      </c>
      <c r="H31" s="300" t="s">
        <v>123</v>
      </c>
      <c r="I31" s="303" t="s">
        <v>123</v>
      </c>
    </row>
    <row r="32" spans="1:14" ht="18" customHeight="1" x14ac:dyDescent="0.2">
      <c r="A32" s="33" t="str">
        <f>OVERALL!A32</f>
        <v>CLARITY</v>
      </c>
      <c r="B32" s="3">
        <f>IF(C32=0,"-",COUNTIF(D32:I32,"y")/C32)</f>
        <v>0.83333333333333337</v>
      </c>
      <c r="C32" s="26">
        <f>$C$2-COUNTIF(D32:I32, "-")</f>
        <v>6</v>
      </c>
      <c r="D32" s="306" t="s">
        <v>123</v>
      </c>
      <c r="E32" s="298" t="s">
        <v>122</v>
      </c>
      <c r="F32" s="298" t="s">
        <v>123</v>
      </c>
      <c r="G32" s="292" t="s">
        <v>123</v>
      </c>
      <c r="H32" s="300" t="s">
        <v>123</v>
      </c>
      <c r="I32" s="303"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0.33333333333333331</v>
      </c>
      <c r="C34" s="1" t="s">
        <v>1</v>
      </c>
      <c r="D34" s="44">
        <f t="shared" ref="D34:I34" si="8">IF(D37=0,"-",IF(D37="","-",IF(D35="y",$K$35,IF(D36="y",$K$36,0%))))</f>
        <v>-0.1</v>
      </c>
      <c r="E34" s="44">
        <f t="shared" si="8"/>
        <v>-0.3</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0.16666666666666666</v>
      </c>
      <c r="C35" s="26">
        <f>$C$2-COUNTIF(D35:I35, "-")</f>
        <v>6</v>
      </c>
      <c r="D35" s="306" t="s">
        <v>122</v>
      </c>
      <c r="E35" s="298" t="s">
        <v>123</v>
      </c>
      <c r="F35" s="294"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0.16666666666666666</v>
      </c>
      <c r="C36" s="26">
        <f>$C$2-COUNTIF(D36:I36, "-")</f>
        <v>6</v>
      </c>
      <c r="D36" s="306" t="s">
        <v>123</v>
      </c>
      <c r="E36" s="298" t="s">
        <v>122</v>
      </c>
      <c r="F36" s="294"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1</v>
      </c>
      <c r="E37" s="27">
        <f t="shared" si="9"/>
        <v>1</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4" t="s">
        <v>123</v>
      </c>
      <c r="G39" s="292" t="s">
        <v>123</v>
      </c>
      <c r="H39" s="300" t="s">
        <v>123</v>
      </c>
      <c r="I39" s="303" t="s">
        <v>123</v>
      </c>
    </row>
    <row r="40" spans="1:16" ht="18" customHeight="1" x14ac:dyDescent="0.2">
      <c r="A40" s="33" t="str">
        <f>OVERALL!A40</f>
        <v>TALK TIME</v>
      </c>
      <c r="B40" s="282">
        <f>IF(C40=0,"-",AVERAGE(D40:I40))</f>
        <v>6.6512345679012345E-3</v>
      </c>
      <c r="C40" s="26">
        <f t="shared" si="10"/>
        <v>6</v>
      </c>
      <c r="D40" s="286">
        <v>8.5416666666666662E-3</v>
      </c>
      <c r="E40" s="286">
        <v>7.1759259259259259E-3</v>
      </c>
      <c r="F40" s="286">
        <v>7.0254629629629634E-3</v>
      </c>
      <c r="G40" s="286">
        <v>6.1342592592592594E-3</v>
      </c>
      <c r="H40" s="286">
        <v>4.0277777777777777E-3</v>
      </c>
      <c r="I40" s="286">
        <v>7.0023148148148145E-3</v>
      </c>
      <c r="J40" s="46"/>
      <c r="K40" s="266"/>
      <c r="L40" s="266"/>
      <c r="M40" s="266"/>
      <c r="N40" s="266"/>
      <c r="O40" s="266"/>
      <c r="P40" s="266"/>
    </row>
    <row r="41" spans="1:16" ht="18" customHeight="1" x14ac:dyDescent="0.2">
      <c r="A41" s="33" t="str">
        <f>OVERALL!A41</f>
        <v>ASSESSOR RATING (0-10)</v>
      </c>
      <c r="B41" s="288">
        <f>IF(C41=0,"-",SUM(D41:I41)/C41)</f>
        <v>5.5</v>
      </c>
      <c r="C41" s="26">
        <f t="shared" si="10"/>
        <v>6</v>
      </c>
      <c r="D41" s="290">
        <v>6</v>
      </c>
      <c r="E41" s="290">
        <v>3</v>
      </c>
      <c r="F41" s="290">
        <v>6</v>
      </c>
      <c r="G41" s="290">
        <v>6</v>
      </c>
      <c r="H41" s="290">
        <v>5</v>
      </c>
      <c r="I41" s="290">
        <v>7</v>
      </c>
    </row>
    <row r="42" spans="1:16" ht="18" customHeight="1" x14ac:dyDescent="0.2">
      <c r="A42" s="33" t="str">
        <f>OVERALL!A42</f>
        <v>EXPLAINED KEY FEATURES</v>
      </c>
      <c r="B42" s="3">
        <f>IF(C42=0,"-",COUNTIF(D42:I42, "y")/C42)</f>
        <v>1</v>
      </c>
      <c r="C42" s="26">
        <f t="shared" si="10"/>
        <v>6</v>
      </c>
      <c r="D42" s="306" t="s">
        <v>123</v>
      </c>
      <c r="E42" s="298" t="s">
        <v>123</v>
      </c>
      <c r="F42" s="298" t="s">
        <v>123</v>
      </c>
      <c r="G42" s="292" t="s">
        <v>123</v>
      </c>
      <c r="H42" s="300" t="s">
        <v>123</v>
      </c>
      <c r="I42" s="303" t="s">
        <v>123</v>
      </c>
      <c r="J42" s="47"/>
      <c r="K42" t="s">
        <v>1</v>
      </c>
    </row>
    <row r="43" spans="1:16" ht="18" customHeight="1" x14ac:dyDescent="0.2">
      <c r="A43" s="33" t="str">
        <f>OVERALL!A43</f>
        <v>REVEALED PRICING</v>
      </c>
      <c r="B43" s="3">
        <f>IF(C43=0,"-",COUNTIF(D43:I43, "y")/C43)</f>
        <v>1</v>
      </c>
      <c r="C43" s="26">
        <f t="shared" si="10"/>
        <v>6</v>
      </c>
      <c r="D43" s="306" t="s">
        <v>123</v>
      </c>
      <c r="E43" s="298" t="s">
        <v>123</v>
      </c>
      <c r="F43" s="298" t="s">
        <v>123</v>
      </c>
      <c r="G43" s="292" t="s">
        <v>123</v>
      </c>
      <c r="H43" s="300" t="s">
        <v>123</v>
      </c>
      <c r="I43" s="303" t="s">
        <v>123</v>
      </c>
    </row>
    <row r="44" spans="1:16" ht="18" customHeight="1" x14ac:dyDescent="0.2">
      <c r="A44" s="33" t="str">
        <f>OVERALL!A44</f>
        <v>EXPLAINED ACTIONS &amp; PROCESS</v>
      </c>
      <c r="B44" s="3">
        <f>IF(C44=0,"-",COUNTIF(D44:I44, "y")/C44)</f>
        <v>1</v>
      </c>
      <c r="C44" s="26">
        <f t="shared" si="10"/>
        <v>6</v>
      </c>
      <c r="D44" s="306" t="s">
        <v>123</v>
      </c>
      <c r="E44" s="298" t="s">
        <v>123</v>
      </c>
      <c r="F44" s="298" t="s">
        <v>123</v>
      </c>
      <c r="G44" s="292" t="s">
        <v>123</v>
      </c>
      <c r="H44" s="300" t="s">
        <v>123</v>
      </c>
      <c r="I44" s="303" t="s">
        <v>123</v>
      </c>
    </row>
    <row r="45" spans="1:16" ht="18" customHeight="1" x14ac:dyDescent="0.2">
      <c r="A45" s="33" t="str">
        <f>OVERALL!A45</f>
        <v>WEBSITE EDUCATION</v>
      </c>
      <c r="B45" s="3">
        <f>IF(C45=0,"-",COUNTIF(D45:I45, "y")/C45)</f>
        <v>0</v>
      </c>
      <c r="C45" s="26">
        <f t="shared" si="10"/>
        <v>6</v>
      </c>
      <c r="D45" s="306" t="s">
        <v>122</v>
      </c>
      <c r="E45" s="298" t="s">
        <v>122</v>
      </c>
      <c r="F45" s="298" t="s">
        <v>122</v>
      </c>
      <c r="G45" s="292" t="s">
        <v>122</v>
      </c>
      <c r="H45" s="300" t="s">
        <v>122</v>
      </c>
      <c r="I45" s="303" t="s">
        <v>122</v>
      </c>
    </row>
    <row r="46" spans="1:16" ht="18" customHeight="1" x14ac:dyDescent="0.2">
      <c r="A46" s="18"/>
      <c r="B46" s="3"/>
      <c r="C46" s="26"/>
      <c r="D46" s="264"/>
      <c r="E46" s="264"/>
      <c r="F46" s="264"/>
      <c r="G46" s="264"/>
      <c r="H46" s="264"/>
      <c r="I46" s="264"/>
    </row>
    <row r="47" spans="1:16" ht="314" x14ac:dyDescent="0.2">
      <c r="A47" s="25" t="s">
        <v>1</v>
      </c>
      <c r="B47" s="350" t="s">
        <v>36</v>
      </c>
      <c r="C47" s="351"/>
      <c r="D47" s="23" t="s">
        <v>203</v>
      </c>
      <c r="E47" s="23" t="s">
        <v>161</v>
      </c>
      <c r="F47" s="23" t="s">
        <v>147</v>
      </c>
      <c r="G47" s="23" t="s">
        <v>133</v>
      </c>
      <c r="H47" s="23" t="s">
        <v>174</v>
      </c>
      <c r="I47" s="23" t="s">
        <v>193</v>
      </c>
    </row>
    <row r="48" spans="1:16" ht="18" customHeight="1" x14ac:dyDescent="0.2">
      <c r="A48" s="60" t="s">
        <v>48</v>
      </c>
      <c r="D48" s="51">
        <f t="shared" ref="D48:I48" si="11">IF(D$2="","",IF(D$39="n", "", SUM(D$6,D$12,D$17,D$23,D$28,D$34)))</f>
        <v>0.50416666666666676</v>
      </c>
      <c r="E48" s="51">
        <f t="shared" si="11"/>
        <v>5.4166666666666641E-2</v>
      </c>
      <c r="F48" s="51">
        <f t="shared" si="11"/>
        <v>0.67083333333333339</v>
      </c>
      <c r="G48" s="51">
        <f t="shared" si="11"/>
        <v>0.65416666666666667</v>
      </c>
      <c r="H48" s="51">
        <f t="shared" si="11"/>
        <v>0.56666666666666665</v>
      </c>
      <c r="I48" s="51">
        <f t="shared" si="11"/>
        <v>0.76666666666666661</v>
      </c>
    </row>
    <row r="50" spans="1:9" ht="19" x14ac:dyDescent="0.25">
      <c r="A50" s="111" t="s">
        <v>75</v>
      </c>
      <c r="B50" s="91" t="s">
        <v>76</v>
      </c>
    </row>
    <row r="51" spans="1:9" x14ac:dyDescent="0.2">
      <c r="A51" s="112" t="s">
        <v>64</v>
      </c>
      <c r="B51" s="113">
        <v>0.3</v>
      </c>
      <c r="C51" s="112"/>
      <c r="D51" s="257">
        <f>'[1]RED ENERGY'!D$4</f>
        <v>0.92708333333333337</v>
      </c>
      <c r="E51" s="257">
        <f>'[1]RED ENERGY'!E$4</f>
        <v>0.92708333333333337</v>
      </c>
      <c r="F51" s="257">
        <f>'[1]RED ENERGY'!F$4</f>
        <v>0.86458333333333337</v>
      </c>
      <c r="G51" s="257">
        <f>'[1]RED ENERGY'!G$4</f>
        <v>0.92708333333333337</v>
      </c>
      <c r="H51" s="257">
        <f>'[1]RED ENERGY'!H$4</f>
        <v>0.89583333333333337</v>
      </c>
      <c r="I51" s="257">
        <f>'[1]RED ENERGY'!I$4</f>
        <v>0.92708333333333337</v>
      </c>
    </row>
    <row r="52" spans="1:9" x14ac:dyDescent="0.2">
      <c r="A52" s="112" t="s">
        <v>65</v>
      </c>
      <c r="B52" s="113">
        <v>0.7</v>
      </c>
      <c r="C52" s="112"/>
      <c r="D52" s="258">
        <f t="shared" ref="D52:I52" si="12">D4</f>
        <v>0.50416666666666676</v>
      </c>
      <c r="E52" s="258">
        <f t="shared" si="12"/>
        <v>5.4166666666666641E-2</v>
      </c>
      <c r="F52" s="258">
        <f t="shared" si="12"/>
        <v>0.67083333333333339</v>
      </c>
      <c r="G52" s="258">
        <f t="shared" si="12"/>
        <v>0.65416666666666667</v>
      </c>
      <c r="H52" s="258">
        <f t="shared" si="12"/>
        <v>0.56666666666666665</v>
      </c>
      <c r="I52" s="258">
        <f t="shared" si="12"/>
        <v>0.76666666666666661</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0.27812500000000001</v>
      </c>
      <c r="E55" s="258">
        <f t="shared" ref="E55:I55" si="13">IF(E51="-","-",E51*$B$51)</f>
        <v>0.27812500000000001</v>
      </c>
      <c r="F55" s="258">
        <f t="shared" si="13"/>
        <v>0.25937500000000002</v>
      </c>
      <c r="G55" s="258">
        <f t="shared" si="13"/>
        <v>0.27812500000000001</v>
      </c>
      <c r="H55" s="258">
        <f t="shared" si="13"/>
        <v>0.26874999999999999</v>
      </c>
      <c r="I55" s="258">
        <f t="shared" si="13"/>
        <v>0.27812500000000001</v>
      </c>
    </row>
    <row r="56" spans="1:9" x14ac:dyDescent="0.2">
      <c r="A56" s="112" t="s">
        <v>65</v>
      </c>
      <c r="B56" s="112"/>
      <c r="C56" s="112"/>
      <c r="D56" s="258">
        <f t="shared" ref="D56:I56" si="14">IF(D52="-","-",D52*$B$52)</f>
        <v>0.35291666666666671</v>
      </c>
      <c r="E56" s="258">
        <f t="shared" si="14"/>
        <v>3.7916666666666647E-2</v>
      </c>
      <c r="F56" s="258">
        <f t="shared" si="14"/>
        <v>0.46958333333333335</v>
      </c>
      <c r="G56" s="258">
        <f t="shared" si="14"/>
        <v>0.45791666666666664</v>
      </c>
      <c r="H56" s="258">
        <f t="shared" si="14"/>
        <v>0.39666666666666661</v>
      </c>
      <c r="I56" s="258">
        <f t="shared" si="14"/>
        <v>0.53666666666666663</v>
      </c>
    </row>
    <row r="57" spans="1:9" x14ac:dyDescent="0.2">
      <c r="A57" s="115" t="s">
        <v>60</v>
      </c>
      <c r="B57" s="115"/>
      <c r="C57" s="115"/>
      <c r="D57" s="116">
        <f t="shared" ref="D57:I57" si="15">IF(D51="","",IF(D52="","",SUM(D55:D56)))</f>
        <v>0.63104166666666672</v>
      </c>
      <c r="E57" s="116">
        <f t="shared" si="15"/>
        <v>0.31604166666666667</v>
      </c>
      <c r="F57" s="116">
        <f t="shared" si="15"/>
        <v>0.72895833333333337</v>
      </c>
      <c r="G57" s="116">
        <f t="shared" si="15"/>
        <v>0.73604166666666671</v>
      </c>
      <c r="H57" s="116">
        <f t="shared" si="15"/>
        <v>0.66541666666666655</v>
      </c>
      <c r="I57" s="116">
        <f t="shared" si="15"/>
        <v>0.81479166666666658</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8" zoomScaleNormal="88"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7" t="s">
        <v>204</v>
      </c>
      <c r="E2" s="297" t="s">
        <v>164</v>
      </c>
      <c r="F2" s="297" t="s">
        <v>148</v>
      </c>
      <c r="G2" s="293" t="s">
        <v>134</v>
      </c>
      <c r="H2" s="301" t="s">
        <v>175</v>
      </c>
      <c r="I2" s="304" t="s">
        <v>190</v>
      </c>
    </row>
    <row r="3" spans="1:11" ht="19" x14ac:dyDescent="0.2">
      <c r="A3" s="32" t="str">
        <f>OVERALL!I1</f>
        <v>ENGIE</v>
      </c>
      <c r="B3" s="249">
        <f>OVERALL!I3</f>
        <v>0.73145833333333332</v>
      </c>
      <c r="C3" s="109" t="s">
        <v>74</v>
      </c>
      <c r="D3" s="110">
        <f>IF(D2="-","-",D57)</f>
        <v>0.74541666666666662</v>
      </c>
      <c r="E3" s="110">
        <f t="shared" ref="E3:I3" si="0">IF(E2="-","-",E57)</f>
        <v>0.72499999999999998</v>
      </c>
      <c r="F3" s="110">
        <f t="shared" si="0"/>
        <v>0.6004166666666666</v>
      </c>
      <c r="G3" s="110">
        <f t="shared" si="0"/>
        <v>0.67833333333333323</v>
      </c>
      <c r="H3" s="110">
        <f t="shared" si="0"/>
        <v>0.9524999999999999</v>
      </c>
      <c r="I3" s="110">
        <f t="shared" si="0"/>
        <v>0.68708333333333327</v>
      </c>
    </row>
    <row r="4" spans="1:11" ht="18" customHeight="1" x14ac:dyDescent="0.2">
      <c r="A4" s="17" t="str">
        <f>OVERALL!A4</f>
        <v>QUALITY SCORE</v>
      </c>
      <c r="B4" s="38">
        <f>IF(C2=0, "-", IF(COUNTIF(D39:I39, "n")=C2, "-", IF(COUNT(D4:I4)=0, "-", AVERAGE(D4:I4))))</f>
        <v>0.64166666666666672</v>
      </c>
      <c r="C4" s="59" t="s">
        <v>1</v>
      </c>
      <c r="D4" s="38">
        <f>IF(D48&lt;0%,0%,IF(D$2="-","-",IF(D$39="n", "-", SUM(D$6,D$12,D$17,D$23,D$28,D$34))))</f>
        <v>0.65416666666666667</v>
      </c>
      <c r="E4" s="38">
        <f t="shared" ref="E4:I4" si="1">IF(E48&lt;0%,0%,IF(E$2="-","-",IF(E$39="n", "-", SUM(E$6,E$12,E$17,E$23,E$28,E$34))))</f>
        <v>0.625</v>
      </c>
      <c r="F4" s="38">
        <f t="shared" si="1"/>
        <v>0.4916666666666667</v>
      </c>
      <c r="G4" s="38">
        <f t="shared" si="1"/>
        <v>0.55833333333333335</v>
      </c>
      <c r="H4" s="38">
        <f t="shared" si="1"/>
        <v>0.95</v>
      </c>
      <c r="I4" s="38">
        <f t="shared" si="1"/>
        <v>0.5708333333333333</v>
      </c>
      <c r="K4" s="12" t="s">
        <v>8</v>
      </c>
    </row>
    <row r="5" spans="1:11" ht="18" customHeight="1" x14ac:dyDescent="0.25">
      <c r="A5" s="58" t="s">
        <v>49</v>
      </c>
      <c r="B5" s="59">
        <f>IF(B6="-","-",AVERAGE(D5:I5))</f>
        <v>0.64166666666666672</v>
      </c>
      <c r="C5" s="59" t="s">
        <v>1</v>
      </c>
      <c r="D5" s="61">
        <f t="shared" ref="D5:I5" si="2">IF(D$2="","",IF(D$39="n", "", SUM(D$6,D$12,D$17,D$23,D$28)))</f>
        <v>0.65416666666666667</v>
      </c>
      <c r="E5" s="61">
        <f t="shared" si="2"/>
        <v>0.625</v>
      </c>
      <c r="F5" s="61">
        <f t="shared" si="2"/>
        <v>0.4916666666666667</v>
      </c>
      <c r="G5" s="61">
        <f t="shared" si="2"/>
        <v>0.55833333333333335</v>
      </c>
      <c r="H5" s="61">
        <f t="shared" si="2"/>
        <v>0.95</v>
      </c>
      <c r="I5" s="61">
        <f t="shared" si="2"/>
        <v>0.5708333333333333</v>
      </c>
      <c r="K5" s="7" t="s">
        <v>17</v>
      </c>
    </row>
    <row r="6" spans="1:11" ht="18" customHeight="1" x14ac:dyDescent="0.2">
      <c r="A6" s="20" t="str">
        <f>OVERALL!A6</f>
        <v>ENGAGE</v>
      </c>
      <c r="B6" s="21">
        <f>IF(C11=0,"-",AVERAGE(B7:B10))</f>
        <v>0.58333333333333326</v>
      </c>
      <c r="C6" s="62" t="s">
        <v>0</v>
      </c>
      <c r="D6" s="28">
        <f>IF(D11=0,"-",(COUNTIF(D7:D10, "y")/D11)*OVERALL!$C$6)</f>
        <v>0.1</v>
      </c>
      <c r="E6" s="28">
        <f>IF(E11=0,"-",(COUNTIF(E7:E10, "y")/E11)*OVERALL!$C$6)</f>
        <v>0.05</v>
      </c>
      <c r="F6" s="28">
        <f>IF(F11=0,"-",(COUNTIF(F7:F10, "y")/F11)*OVERALL!$C$6)</f>
        <v>0.1</v>
      </c>
      <c r="G6" s="28">
        <f>IF(G11=0,"-",(COUNTIF(G7:G10, "y")/G11)*OVERALL!$C$6)</f>
        <v>0.15000000000000002</v>
      </c>
      <c r="H6" s="28">
        <f>IF(H11=0,"-",(COUNTIF(H7:H10, "y")/H11)*OVERALL!$C$6)</f>
        <v>0.2</v>
      </c>
      <c r="I6" s="28">
        <f>IF(I11=0,"-",(COUNTIF(I7:I10, "y")/I11)*OVERALL!$C$6)</f>
        <v>0.1</v>
      </c>
    </row>
    <row r="7" spans="1:11" ht="18" customHeight="1" x14ac:dyDescent="0.2">
      <c r="A7" s="33" t="str">
        <f>OVERALL!A7</f>
        <v>WELCOME</v>
      </c>
      <c r="B7" s="3">
        <f>IF(C7=0,"-",COUNTIF(D7:I7,"y")/C7)</f>
        <v>1</v>
      </c>
      <c r="C7" s="26">
        <f>$C$2-COUNTIF(D7:I7, "-")</f>
        <v>6</v>
      </c>
      <c r="D7" s="306" t="s">
        <v>123</v>
      </c>
      <c r="E7" s="298" t="s">
        <v>123</v>
      </c>
      <c r="F7" s="298" t="s">
        <v>123</v>
      </c>
      <c r="G7" s="292" t="s">
        <v>123</v>
      </c>
      <c r="H7" s="300" t="s">
        <v>123</v>
      </c>
      <c r="I7" s="303" t="s">
        <v>123</v>
      </c>
      <c r="K7" s="11" t="s">
        <v>2</v>
      </c>
    </row>
    <row r="8" spans="1:11" ht="18" customHeight="1" x14ac:dyDescent="0.25">
      <c r="A8" s="33" t="str">
        <f>OVERALL!A8</f>
        <v>INTENT</v>
      </c>
      <c r="B8" s="3">
        <f>IF(C8=0,"-",COUNTIF(D8:I8,"y")/C8)</f>
        <v>0.5</v>
      </c>
      <c r="C8" s="26">
        <f>$C$2-COUNTIF(D8:I8, "-")</f>
        <v>6</v>
      </c>
      <c r="D8" s="306" t="s">
        <v>122</v>
      </c>
      <c r="E8" s="298" t="s">
        <v>122</v>
      </c>
      <c r="F8" s="298" t="s">
        <v>122</v>
      </c>
      <c r="G8" s="292" t="s">
        <v>123</v>
      </c>
      <c r="H8" s="300" t="s">
        <v>123</v>
      </c>
      <c r="I8" s="303" t="s">
        <v>123</v>
      </c>
      <c r="K8" s="7" t="s">
        <v>16</v>
      </c>
    </row>
    <row r="9" spans="1:11" ht="18" customHeight="1" x14ac:dyDescent="0.2">
      <c r="A9" s="33" t="str">
        <f>OVERALL!A9</f>
        <v>NAME</v>
      </c>
      <c r="B9" s="3">
        <f>IF(C9=0,"-",COUNTIF(D9:I9,"y")/C9)</f>
        <v>0.66666666666666663</v>
      </c>
      <c r="C9" s="26">
        <f>$C$2-COUNTIF(D9:I9, "-")</f>
        <v>6</v>
      </c>
      <c r="D9" s="306" t="s">
        <v>123</v>
      </c>
      <c r="E9" s="298" t="s">
        <v>122</v>
      </c>
      <c r="F9" s="298" t="s">
        <v>123</v>
      </c>
      <c r="G9" s="292" t="s">
        <v>123</v>
      </c>
      <c r="H9" s="300" t="s">
        <v>123</v>
      </c>
      <c r="I9" s="303" t="s">
        <v>122</v>
      </c>
      <c r="K9" t="s">
        <v>1</v>
      </c>
    </row>
    <row r="10" spans="1:11" ht="18" customHeight="1" x14ac:dyDescent="0.2">
      <c r="A10" s="33" t="str">
        <f>OVERALL!A10</f>
        <v>BRIDGE</v>
      </c>
      <c r="B10" s="3">
        <f>IF(C10=0,"-",COUNTIF(D10:I10,"y")/C10)</f>
        <v>0.16666666666666666</v>
      </c>
      <c r="C10" s="26">
        <f>$C$2-COUNTIF(D10:I10, "-")</f>
        <v>6</v>
      </c>
      <c r="D10" s="306" t="s">
        <v>122</v>
      </c>
      <c r="E10" s="298" t="s">
        <v>122</v>
      </c>
      <c r="F10" s="298" t="s">
        <v>122</v>
      </c>
      <c r="G10" s="292" t="s">
        <v>122</v>
      </c>
      <c r="H10" s="300" t="s">
        <v>123</v>
      </c>
      <c r="I10" s="303" t="s">
        <v>122</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0.66666666666666663</v>
      </c>
      <c r="C12" s="1" t="s">
        <v>1</v>
      </c>
      <c r="D12" s="28">
        <f>IF(D16=0,"-",(COUNTIF(D13:D15, "y")/D16)*OVERALL!$C$12)</f>
        <v>6.6666666666666666E-2</v>
      </c>
      <c r="E12" s="28">
        <f>IF(E16=0,"-",(COUNTIF(E13:E15, "y")/E16)*OVERALL!$C$12)</f>
        <v>0.2</v>
      </c>
      <c r="F12" s="28">
        <f>IF(F16=0,"-",(COUNTIF(F13:F15, "y")/F16)*OVERALL!$C$12)</f>
        <v>6.6666666666666666E-2</v>
      </c>
      <c r="G12" s="28">
        <f>IF(G16=0,"-",(COUNTIF(G13:G15, "y")/G16)*OVERALL!$C$12)</f>
        <v>0.13333333333333333</v>
      </c>
      <c r="H12" s="28">
        <f>IF(H16=0,"-",(COUNTIF(H13:H15, "y")/H16)*OVERALL!$C$12)</f>
        <v>0.2</v>
      </c>
      <c r="I12" s="28">
        <f>IF(I16=0,"-",(COUNTIF(I13:I15, "y")/I16)*OVERALL!$C$12)</f>
        <v>0.13333333333333333</v>
      </c>
      <c r="K12" t="s">
        <v>1</v>
      </c>
    </row>
    <row r="13" spans="1:11" ht="18" customHeight="1" x14ac:dyDescent="0.2">
      <c r="A13" s="33" t="str">
        <f>OVERALL!A13</f>
        <v>CONVERSE</v>
      </c>
      <c r="B13" s="3">
        <f>IF(C13=0,"-",COUNTIF(D13:I13,"y")/C13)</f>
        <v>0.33333333333333331</v>
      </c>
      <c r="C13" s="26">
        <f>$C$2-COUNTIF(D13:I13, "-")</f>
        <v>6</v>
      </c>
      <c r="D13" s="306" t="s">
        <v>122</v>
      </c>
      <c r="E13" s="298" t="s">
        <v>123</v>
      </c>
      <c r="F13" s="298" t="s">
        <v>122</v>
      </c>
      <c r="G13" s="292" t="s">
        <v>122</v>
      </c>
      <c r="H13" s="300" t="s">
        <v>123</v>
      </c>
      <c r="I13" s="303" t="s">
        <v>122</v>
      </c>
      <c r="K13" s="14" t="s">
        <v>4</v>
      </c>
    </row>
    <row r="14" spans="1:11" ht="18" customHeight="1" x14ac:dyDescent="0.25">
      <c r="A14" s="33" t="str">
        <f>OVERALL!A14</f>
        <v>LISTEN</v>
      </c>
      <c r="B14" s="3">
        <f>IF(C14=0,"-",COUNTIF(D14:I14,"y")/C14)</f>
        <v>1</v>
      </c>
      <c r="C14" s="26">
        <f>$C$2-COUNTIF(D14:I14, "-")</f>
        <v>6</v>
      </c>
      <c r="D14" s="306" t="s">
        <v>123</v>
      </c>
      <c r="E14" s="298" t="s">
        <v>123</v>
      </c>
      <c r="F14" s="298" t="s">
        <v>123</v>
      </c>
      <c r="G14" s="292" t="s">
        <v>123</v>
      </c>
      <c r="H14" s="300" t="s">
        <v>123</v>
      </c>
      <c r="I14" s="303" t="s">
        <v>123</v>
      </c>
      <c r="K14" s="9" t="s">
        <v>14</v>
      </c>
    </row>
    <row r="15" spans="1:11" ht="18" customHeight="1" x14ac:dyDescent="0.2">
      <c r="A15" s="33" t="str">
        <f>OVERALL!A15</f>
        <v>CONFIRM</v>
      </c>
      <c r="B15" s="3">
        <f>IF(C15=0,"-",COUNTIF(D15:I15,"y")/C15)</f>
        <v>0.66666666666666663</v>
      </c>
      <c r="C15" s="26">
        <f>$C$2-COUNTIF(D15:I15, "-")</f>
        <v>6</v>
      </c>
      <c r="D15" s="306" t="s">
        <v>122</v>
      </c>
      <c r="E15" s="298" t="s">
        <v>123</v>
      </c>
      <c r="F15" s="298" t="s">
        <v>122</v>
      </c>
      <c r="G15" s="292" t="s">
        <v>123</v>
      </c>
      <c r="H15" s="300" t="s">
        <v>123</v>
      </c>
      <c r="I15" s="303" t="s">
        <v>123</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0.125</v>
      </c>
      <c r="G17" s="29">
        <f>IF(G22=0,"-",(COUNTIF(G18:G21, "y")/G22)*OVERALL!$C$17)</f>
        <v>0.125</v>
      </c>
      <c r="H17" s="29">
        <f>IF(H22=0,"-",(COUNTIF(H18:H21, "y")/H22)*OVERALL!$C$17)</f>
        <v>0.25</v>
      </c>
      <c r="I17" s="29">
        <f>IF(I22=0,"-",(COUNTIF(I18:I21, "y")/I22)*OVERALL!$C$17)</f>
        <v>0.1875</v>
      </c>
      <c r="K17" s="9" t="s">
        <v>6</v>
      </c>
    </row>
    <row r="18" spans="1:14" ht="18" customHeight="1" x14ac:dyDescent="0.2">
      <c r="A18" s="33" t="str">
        <f>OVERALL!A18</f>
        <v>INFORM</v>
      </c>
      <c r="B18" s="3">
        <f>IF(C18=0,"-",COUNTIF(D18:I18,"y")/C18)</f>
        <v>0.66666666666666663</v>
      </c>
      <c r="C18" s="26">
        <f>$C$2-COUNTIF(D18:I18, "-")</f>
        <v>6</v>
      </c>
      <c r="D18" s="306" t="s">
        <v>123</v>
      </c>
      <c r="E18" s="298" t="s">
        <v>123</v>
      </c>
      <c r="F18" s="298" t="s">
        <v>122</v>
      </c>
      <c r="G18" s="292" t="s">
        <v>122</v>
      </c>
      <c r="H18" s="300" t="s">
        <v>123</v>
      </c>
      <c r="I18" s="303" t="s">
        <v>123</v>
      </c>
    </row>
    <row r="19" spans="1:14" ht="18" customHeight="1" x14ac:dyDescent="0.2">
      <c r="A19" s="33" t="str">
        <f>OVERALL!A19</f>
        <v>CHECK</v>
      </c>
      <c r="B19" s="3">
        <f>IF(C19=0,"-",COUNTIF(D19:I19,"y")/C19)</f>
        <v>0.16666666666666666</v>
      </c>
      <c r="C19" s="26">
        <f>$C$2-COUNTIF(D19:I19, "-")</f>
        <v>6</v>
      </c>
      <c r="D19" s="306" t="s">
        <v>122</v>
      </c>
      <c r="E19" s="298" t="s">
        <v>122</v>
      </c>
      <c r="F19" s="298" t="s">
        <v>122</v>
      </c>
      <c r="G19" s="292" t="s">
        <v>122</v>
      </c>
      <c r="H19" s="300" t="s">
        <v>123</v>
      </c>
      <c r="I19" s="303" t="s">
        <v>122</v>
      </c>
    </row>
    <row r="20" spans="1:14" ht="18" customHeight="1" x14ac:dyDescent="0.2">
      <c r="A20" s="33" t="str">
        <f>OVERALL!A20</f>
        <v>SEEK</v>
      </c>
      <c r="B20" s="3">
        <f>IF(C20=0,"-",COUNTIF(D20:I20,"y")/C20)</f>
        <v>0.83333333333333337</v>
      </c>
      <c r="C20" s="26">
        <f>$C$2-COUNTIF(D20:I20, "-")</f>
        <v>6</v>
      </c>
      <c r="D20" s="306" t="s">
        <v>123</v>
      </c>
      <c r="E20" s="298" t="s">
        <v>122</v>
      </c>
      <c r="F20" s="298" t="s">
        <v>123</v>
      </c>
      <c r="G20" s="292" t="s">
        <v>123</v>
      </c>
      <c r="H20" s="300" t="s">
        <v>123</v>
      </c>
      <c r="I20" s="303" t="s">
        <v>123</v>
      </c>
      <c r="K20" t="s">
        <v>1</v>
      </c>
    </row>
    <row r="21" spans="1:14" ht="18" customHeight="1" x14ac:dyDescent="0.2">
      <c r="A21" s="33" t="str">
        <f>OVERALL!A21</f>
        <v>CONFIDENCE</v>
      </c>
      <c r="B21" s="3">
        <f>IF(C21=0,"-",COUNTIF(D21:I21,"y")/C21)</f>
        <v>1</v>
      </c>
      <c r="C21" s="26">
        <f>$C$2-COUNTIF(D21:I21, "-")</f>
        <v>6</v>
      </c>
      <c r="D21" s="306" t="s">
        <v>123</v>
      </c>
      <c r="E21" s="298" t="s">
        <v>123</v>
      </c>
      <c r="F21" s="298" t="s">
        <v>123</v>
      </c>
      <c r="G21" s="292" t="s">
        <v>123</v>
      </c>
      <c r="H21" s="300" t="s">
        <v>123</v>
      </c>
      <c r="I21" s="303" t="s">
        <v>123</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0.44444444444444448</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4.9999999999999996E-2</v>
      </c>
      <c r="H23" s="29">
        <f>IF(H27=0,"-",(COUNTIF(H24:H26, "y")/H27)*OVERALL!$C$23)</f>
        <v>9.9999999999999992E-2</v>
      </c>
      <c r="I23" s="29">
        <f>IF(I27=0,"-",(COUNTIF(I24:I26, "y")/I27)*OVERALL!$C$23)</f>
        <v>0</v>
      </c>
    </row>
    <row r="24" spans="1:14" ht="18" customHeight="1" x14ac:dyDescent="0.2">
      <c r="A24" s="33" t="str">
        <f>OVERALL!A24</f>
        <v>QUESTIONS</v>
      </c>
      <c r="B24" s="3">
        <f>IF(C24=0,"-",COUNTIF(D24:I24,"y")/C24)</f>
        <v>0.5</v>
      </c>
      <c r="C24" s="26">
        <f>$C$2-COUNTIF(D24:I24, "-")</f>
        <v>6</v>
      </c>
      <c r="D24" s="306" t="s">
        <v>123</v>
      </c>
      <c r="E24" s="298" t="s">
        <v>122</v>
      </c>
      <c r="F24" s="298" t="s">
        <v>123</v>
      </c>
      <c r="G24" s="292" t="s">
        <v>122</v>
      </c>
      <c r="H24" s="300" t="s">
        <v>123</v>
      </c>
      <c r="I24" s="303" t="s">
        <v>122</v>
      </c>
    </row>
    <row r="25" spans="1:14" ht="18" customHeight="1" x14ac:dyDescent="0.2">
      <c r="A25" s="33" t="str">
        <f>OVERALL!A25</f>
        <v>GRATITUDE</v>
      </c>
      <c r="B25" s="3">
        <f>IF(C25=0,"-",COUNTIF(D25:I25,"y")/C25)</f>
        <v>0</v>
      </c>
      <c r="C25" s="26">
        <f>$C$2-COUNTIF(D25:I25, "-")</f>
        <v>6</v>
      </c>
      <c r="D25" s="306" t="s">
        <v>122</v>
      </c>
      <c r="E25" s="298" t="s">
        <v>122</v>
      </c>
      <c r="F25" s="298" t="s">
        <v>122</v>
      </c>
      <c r="G25" s="292" t="s">
        <v>122</v>
      </c>
      <c r="H25" s="300" t="s">
        <v>122</v>
      </c>
      <c r="I25" s="303" t="s">
        <v>122</v>
      </c>
    </row>
    <row r="26" spans="1:14" ht="18" customHeight="1" x14ac:dyDescent="0.2">
      <c r="A26" s="33" t="str">
        <f>OVERALL!A26</f>
        <v>THANKS</v>
      </c>
      <c r="B26" s="3">
        <f>IF(C26=0,"-",COUNTIF(D26:I26,"y")/C26)</f>
        <v>0.83333333333333337</v>
      </c>
      <c r="C26" s="26">
        <f>$C$2-COUNTIF(D26:I26, "-")</f>
        <v>6</v>
      </c>
      <c r="D26" s="306" t="s">
        <v>123</v>
      </c>
      <c r="E26" s="298" t="s">
        <v>123</v>
      </c>
      <c r="F26" s="298" t="s">
        <v>123</v>
      </c>
      <c r="G26" s="292" t="s">
        <v>123</v>
      </c>
      <c r="H26" s="300" t="s">
        <v>123</v>
      </c>
      <c r="I26" s="303"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0.79166666666666663</v>
      </c>
      <c r="C28" s="1" t="s">
        <v>1</v>
      </c>
      <c r="D28" s="29">
        <f>IF(D33=0,"-",(COUNTIF(D29:D32, "y")/D33)*OVERALL!$C$28)</f>
        <v>0.2</v>
      </c>
      <c r="E28" s="29">
        <f>IF(E33=0,"-",(COUNTIF(E29:E32, "y")/E33)*OVERALL!$C$28)</f>
        <v>0.2</v>
      </c>
      <c r="F28" s="29">
        <f>IF(F33=0,"-",(COUNTIF(F29:F32, "y")/F33)*OVERALL!$C$28)</f>
        <v>0.1</v>
      </c>
      <c r="G28" s="29">
        <f>IF(G33=0,"-",(COUNTIF(G29:G32, "y")/G33)*OVERALL!$C$28)</f>
        <v>0.1</v>
      </c>
      <c r="H28" s="29">
        <f>IF(H33=0,"-",(COUNTIF(H29:H32, "y")/H33)*OVERALL!$C$28)</f>
        <v>0.2</v>
      </c>
      <c r="I28" s="29">
        <f>IF(I33=0,"-",(COUNTIF(I29:I32, "y")/I33)*OVERALL!$C$28)</f>
        <v>0.15000000000000002</v>
      </c>
    </row>
    <row r="29" spans="1:14" ht="18" customHeight="1" x14ac:dyDescent="0.2">
      <c r="A29" s="33" t="str">
        <f>OVERALL!A29</f>
        <v>VIBRANCY</v>
      </c>
      <c r="B29" s="3">
        <f>IF(C29=0,"-",COUNTIF(D29:I29,"y")/C29)</f>
        <v>1</v>
      </c>
      <c r="C29" s="26">
        <f>$C$2-COUNTIF(D29:I29, "-")</f>
        <v>6</v>
      </c>
      <c r="D29" s="306" t="s">
        <v>123</v>
      </c>
      <c r="E29" s="298" t="s">
        <v>123</v>
      </c>
      <c r="F29" s="298" t="s">
        <v>123</v>
      </c>
      <c r="G29" s="292" t="s">
        <v>123</v>
      </c>
      <c r="H29" s="300" t="s">
        <v>123</v>
      </c>
      <c r="I29" s="303" t="s">
        <v>123</v>
      </c>
    </row>
    <row r="30" spans="1:14" ht="18" customHeight="1" x14ac:dyDescent="0.2">
      <c r="A30" s="33" t="str">
        <f>OVERALL!A30</f>
        <v>EMPATHY</v>
      </c>
      <c r="B30" s="3">
        <f>IF(C30=0,"-",COUNTIF(D30:I30,"y")/C30)</f>
        <v>1</v>
      </c>
      <c r="C30" s="26">
        <f>$C$2-COUNTIF(D30:I30, "-")</f>
        <v>6</v>
      </c>
      <c r="D30" s="306" t="s">
        <v>123</v>
      </c>
      <c r="E30" s="298" t="s">
        <v>123</v>
      </c>
      <c r="F30" s="298" t="s">
        <v>123</v>
      </c>
      <c r="G30" s="292" t="s">
        <v>123</v>
      </c>
      <c r="H30" s="300" t="s">
        <v>123</v>
      </c>
      <c r="I30" s="303" t="s">
        <v>123</v>
      </c>
    </row>
    <row r="31" spans="1:14" ht="18" customHeight="1" x14ac:dyDescent="0.2">
      <c r="A31" s="33" t="str">
        <f>OVERALL!A31</f>
        <v>CONTROL</v>
      </c>
      <c r="B31" s="3">
        <f>IF(C31=0,"-",COUNTIF(D31:I31,"y")/C31)</f>
        <v>0.5</v>
      </c>
      <c r="C31" s="26">
        <f>$C$2-COUNTIF(D31:I31, "-")</f>
        <v>6</v>
      </c>
      <c r="D31" s="306" t="s">
        <v>123</v>
      </c>
      <c r="E31" s="298" t="s">
        <v>123</v>
      </c>
      <c r="F31" s="298" t="s">
        <v>122</v>
      </c>
      <c r="G31" s="292" t="s">
        <v>122</v>
      </c>
      <c r="H31" s="300" t="s">
        <v>123</v>
      </c>
      <c r="I31" s="303" t="s">
        <v>122</v>
      </c>
    </row>
    <row r="32" spans="1:14" ht="18" customHeight="1" x14ac:dyDescent="0.2">
      <c r="A32" s="33" t="str">
        <f>OVERALL!A32</f>
        <v>CLARITY</v>
      </c>
      <c r="B32" s="3">
        <f>IF(C32=0,"-",COUNTIF(D32:I32,"y")/C32)</f>
        <v>0.66666666666666663</v>
      </c>
      <c r="C32" s="26">
        <f>$C$2-COUNTIF(D32:I32, "-")</f>
        <v>6</v>
      </c>
      <c r="D32" s="306" t="s">
        <v>123</v>
      </c>
      <c r="E32" s="298" t="s">
        <v>123</v>
      </c>
      <c r="F32" s="298" t="s">
        <v>122</v>
      </c>
      <c r="G32" s="292" t="s">
        <v>122</v>
      </c>
      <c r="H32" s="300" t="s">
        <v>123</v>
      </c>
      <c r="I32" s="303" t="s">
        <v>123</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6" t="s">
        <v>122</v>
      </c>
      <c r="E35" s="298" t="s">
        <v>122</v>
      </c>
      <c r="F35" s="298" t="s">
        <v>122</v>
      </c>
      <c r="G35" s="292" t="s">
        <v>122</v>
      </c>
      <c r="H35" s="300" t="s">
        <v>122</v>
      </c>
      <c r="I35" s="303" t="s">
        <v>122</v>
      </c>
      <c r="K35" s="48">
        <v>-0.3</v>
      </c>
      <c r="M35" s="48"/>
      <c r="N35" s="48"/>
      <c r="O35" s="48"/>
    </row>
    <row r="36" spans="1:16" ht="18" customHeight="1" x14ac:dyDescent="0.2">
      <c r="A36" s="45" t="str">
        <f>OVERALL!A36</f>
        <v>AUDIO ISSUE (DISTRACTION)</v>
      </c>
      <c r="B36" s="3">
        <f>IF(C36=0,"-",COUNTIF(D36:I36,"y")/C36)</f>
        <v>0</v>
      </c>
      <c r="C36" s="26">
        <f>$C$2-COUNTIF(D36:I36, "-")</f>
        <v>6</v>
      </c>
      <c r="D36" s="306" t="s">
        <v>122</v>
      </c>
      <c r="E36" s="298" t="s">
        <v>122</v>
      </c>
      <c r="F36" s="298" t="s">
        <v>122</v>
      </c>
      <c r="G36" s="292" t="s">
        <v>122</v>
      </c>
      <c r="H36" s="300" t="s">
        <v>122</v>
      </c>
      <c r="I36" s="303" t="s">
        <v>122</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48" t="str">
        <f>OVERALL!A38</f>
        <v>ADDITIONAL INSIGHT</v>
      </c>
      <c r="B38" s="349"/>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6" t="s">
        <v>123</v>
      </c>
      <c r="E39" s="298" t="s">
        <v>123</v>
      </c>
      <c r="F39" s="298" t="s">
        <v>123</v>
      </c>
      <c r="G39" s="292" t="s">
        <v>123</v>
      </c>
      <c r="H39" s="300" t="s">
        <v>123</v>
      </c>
      <c r="I39" s="303" t="s">
        <v>123</v>
      </c>
    </row>
    <row r="40" spans="1:16" ht="18" customHeight="1" x14ac:dyDescent="0.2">
      <c r="A40" s="33" t="str">
        <f>OVERALL!A40</f>
        <v>TALK TIME</v>
      </c>
      <c r="B40" s="282">
        <f>IF(C40=0,"-",AVERAGE(D40:I40))</f>
        <v>8.7789351851851865E-3</v>
      </c>
      <c r="C40" s="26">
        <f t="shared" si="10"/>
        <v>6</v>
      </c>
      <c r="D40" s="286">
        <v>9.1203703703703707E-3</v>
      </c>
      <c r="E40" s="286">
        <v>6.9328703703703705E-3</v>
      </c>
      <c r="F40" s="286">
        <v>1.2546296296296297E-2</v>
      </c>
      <c r="G40" s="286">
        <v>7.6736111111111111E-3</v>
      </c>
      <c r="H40" s="302">
        <v>8.2175925925925923E-3</v>
      </c>
      <c r="I40" s="286">
        <v>8.1828703703703699E-3</v>
      </c>
      <c r="J40" s="46"/>
      <c r="K40" s="266"/>
      <c r="L40" s="266"/>
      <c r="M40" s="266"/>
      <c r="N40" s="266"/>
      <c r="O40" s="266"/>
      <c r="P40" s="266"/>
    </row>
    <row r="41" spans="1:16" ht="18" customHeight="1" x14ac:dyDescent="0.2">
      <c r="A41" s="33" t="str">
        <f>OVERALL!A41</f>
        <v>ASSESSOR RATING (0-10)</v>
      </c>
      <c r="B41" s="288">
        <f>IF(C41=0,"-",SUM(D41:I41)/C41)</f>
        <v>6</v>
      </c>
      <c r="C41" s="26">
        <f t="shared" si="10"/>
        <v>6</v>
      </c>
      <c r="D41" s="290">
        <v>6</v>
      </c>
      <c r="E41" s="290">
        <v>6</v>
      </c>
      <c r="F41" s="299">
        <v>5</v>
      </c>
      <c r="G41" s="290">
        <v>5</v>
      </c>
      <c r="H41" s="290">
        <v>9</v>
      </c>
      <c r="I41" s="290">
        <v>5</v>
      </c>
    </row>
    <row r="42" spans="1:16" ht="18" customHeight="1" x14ac:dyDescent="0.2">
      <c r="A42" s="33" t="str">
        <f>OVERALL!A42</f>
        <v>EXPLAINED KEY FEATURES</v>
      </c>
      <c r="B42" s="3">
        <f>IF(C42=0,"-",COUNTIF(D42:I42, "y")/C42)</f>
        <v>1</v>
      </c>
      <c r="C42" s="26">
        <f t="shared" si="10"/>
        <v>6</v>
      </c>
      <c r="D42" s="306" t="s">
        <v>123</v>
      </c>
      <c r="E42" s="298" t="s">
        <v>123</v>
      </c>
      <c r="F42" s="298" t="s">
        <v>123</v>
      </c>
      <c r="G42" s="292" t="s">
        <v>123</v>
      </c>
      <c r="H42" s="300" t="s">
        <v>123</v>
      </c>
      <c r="I42" s="303" t="s">
        <v>123</v>
      </c>
      <c r="J42" s="47"/>
      <c r="K42" t="s">
        <v>1</v>
      </c>
    </row>
    <row r="43" spans="1:16" ht="18" customHeight="1" x14ac:dyDescent="0.2">
      <c r="A43" s="33" t="str">
        <f>OVERALL!A43</f>
        <v>REVEALED PRICING</v>
      </c>
      <c r="B43" s="3">
        <f>IF(C43=0,"-",COUNTIF(D43:I43, "y")/C43)</f>
        <v>1</v>
      </c>
      <c r="C43" s="26">
        <f t="shared" si="10"/>
        <v>6</v>
      </c>
      <c r="D43" s="306" t="s">
        <v>123</v>
      </c>
      <c r="E43" s="298" t="s">
        <v>123</v>
      </c>
      <c r="F43" s="298" t="s">
        <v>123</v>
      </c>
      <c r="G43" s="292" t="s">
        <v>123</v>
      </c>
      <c r="H43" s="300" t="s">
        <v>123</v>
      </c>
      <c r="I43" s="303" t="s">
        <v>123</v>
      </c>
    </row>
    <row r="44" spans="1:16" ht="18" customHeight="1" x14ac:dyDescent="0.2">
      <c r="A44" s="33" t="str">
        <f>OVERALL!A44</f>
        <v>EXPLAINED ACTIONS &amp; PROCESS</v>
      </c>
      <c r="B44" s="3">
        <f>IF(C44=0,"-",COUNTIF(D44:I44, "y")/C44)</f>
        <v>0.83333333333333337</v>
      </c>
      <c r="C44" s="26">
        <f t="shared" si="10"/>
        <v>6</v>
      </c>
      <c r="D44" s="306" t="s">
        <v>123</v>
      </c>
      <c r="E44" s="298" t="s">
        <v>123</v>
      </c>
      <c r="F44" s="298" t="s">
        <v>123</v>
      </c>
      <c r="G44" s="292" t="s">
        <v>123</v>
      </c>
      <c r="H44" s="300" t="s">
        <v>123</v>
      </c>
      <c r="I44" s="303" t="s">
        <v>122</v>
      </c>
    </row>
    <row r="45" spans="1:16" ht="18" customHeight="1" x14ac:dyDescent="0.2">
      <c r="A45" s="33" t="str">
        <f>OVERALL!A45</f>
        <v>WEBSITE EDUCATION</v>
      </c>
      <c r="B45" s="3">
        <f>IF(C45=0,"-",COUNTIF(D45:I45, "y")/C45)</f>
        <v>0</v>
      </c>
      <c r="C45" s="26">
        <f t="shared" si="10"/>
        <v>6</v>
      </c>
      <c r="D45" s="306" t="s">
        <v>122</v>
      </c>
      <c r="E45" s="298" t="s">
        <v>122</v>
      </c>
      <c r="F45" s="298" t="s">
        <v>122</v>
      </c>
      <c r="G45" s="292" t="s">
        <v>122</v>
      </c>
      <c r="H45" s="300" t="s">
        <v>122</v>
      </c>
      <c r="I45" s="303" t="s">
        <v>122</v>
      </c>
    </row>
    <row r="46" spans="1:16" ht="18" customHeight="1" x14ac:dyDescent="0.2">
      <c r="A46" s="18"/>
      <c r="B46" s="3"/>
      <c r="C46" s="26"/>
      <c r="D46" s="264"/>
      <c r="E46" s="264"/>
      <c r="F46" s="264"/>
      <c r="G46" s="264"/>
      <c r="H46" s="264"/>
      <c r="I46" s="264"/>
    </row>
    <row r="47" spans="1:16" ht="370" x14ac:dyDescent="0.2">
      <c r="A47" s="25" t="s">
        <v>1</v>
      </c>
      <c r="B47" s="350" t="s">
        <v>36</v>
      </c>
      <c r="C47" s="351"/>
      <c r="D47" s="23" t="s">
        <v>205</v>
      </c>
      <c r="E47" s="23" t="s">
        <v>176</v>
      </c>
      <c r="F47" s="23" t="s">
        <v>149</v>
      </c>
      <c r="G47" s="23" t="s">
        <v>135</v>
      </c>
      <c r="H47" s="23" t="s">
        <v>177</v>
      </c>
      <c r="I47" s="23" t="s">
        <v>191</v>
      </c>
    </row>
    <row r="48" spans="1:16" ht="18" customHeight="1" x14ac:dyDescent="0.2">
      <c r="A48" s="60" t="s">
        <v>48</v>
      </c>
      <c r="D48" s="51">
        <f t="shared" ref="D48:I48" si="11">IF(D$2="","",IF(D$39="n", "", SUM(D$6,D$12,D$17,D$23,D$28,D$34)))</f>
        <v>0.65416666666666667</v>
      </c>
      <c r="E48" s="51">
        <f t="shared" si="11"/>
        <v>0.625</v>
      </c>
      <c r="F48" s="51">
        <f t="shared" si="11"/>
        <v>0.4916666666666667</v>
      </c>
      <c r="G48" s="51">
        <f t="shared" si="11"/>
        <v>0.55833333333333335</v>
      </c>
      <c r="H48" s="51">
        <f t="shared" si="11"/>
        <v>0.95</v>
      </c>
      <c r="I48" s="51">
        <f t="shared" si="11"/>
        <v>0.5708333333333333</v>
      </c>
    </row>
    <row r="50" spans="1:9" ht="19" x14ac:dyDescent="0.25">
      <c r="A50" s="111" t="s">
        <v>75</v>
      </c>
      <c r="B50" s="91" t="s">
        <v>76</v>
      </c>
    </row>
    <row r="51" spans="1:9" x14ac:dyDescent="0.2">
      <c r="A51" s="112" t="s">
        <v>64</v>
      </c>
      <c r="B51" s="113">
        <v>0.3</v>
      </c>
      <c r="C51" s="112"/>
      <c r="D51" s="257">
        <f>[1]ENGIE!D$4</f>
        <v>0.95833333333333337</v>
      </c>
      <c r="E51" s="257">
        <f>[1]ENGIE!E$4</f>
        <v>0.95833333333333337</v>
      </c>
      <c r="F51" s="257">
        <f>[1]ENGIE!F$4</f>
        <v>0.85416666666666663</v>
      </c>
      <c r="G51" s="257">
        <f>[1]ENGIE!G$4</f>
        <v>0.95833333333333337</v>
      </c>
      <c r="H51" s="257">
        <f>[1]ENGIE!H$4</f>
        <v>0.95833333333333337</v>
      </c>
      <c r="I51" s="257">
        <f>[1]ENGIE!I$4</f>
        <v>0.95833333333333337</v>
      </c>
    </row>
    <row r="52" spans="1:9" x14ac:dyDescent="0.2">
      <c r="A52" s="112" t="s">
        <v>65</v>
      </c>
      <c r="B52" s="113">
        <v>0.7</v>
      </c>
      <c r="C52" s="112"/>
      <c r="D52" s="258">
        <f t="shared" ref="D52:I52" si="12">D4</f>
        <v>0.65416666666666667</v>
      </c>
      <c r="E52" s="258">
        <f t="shared" si="12"/>
        <v>0.625</v>
      </c>
      <c r="F52" s="258">
        <f t="shared" si="12"/>
        <v>0.4916666666666667</v>
      </c>
      <c r="G52" s="258">
        <f t="shared" si="12"/>
        <v>0.55833333333333335</v>
      </c>
      <c r="H52" s="258">
        <f t="shared" si="12"/>
        <v>0.95</v>
      </c>
      <c r="I52" s="258">
        <f t="shared" si="12"/>
        <v>0.5708333333333333</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0.28749999999999998</v>
      </c>
      <c r="F55" s="258">
        <f t="shared" si="13"/>
        <v>0.25624999999999998</v>
      </c>
      <c r="G55" s="258">
        <f t="shared" si="13"/>
        <v>0.28749999999999998</v>
      </c>
      <c r="H55" s="258">
        <f t="shared" si="13"/>
        <v>0.28749999999999998</v>
      </c>
      <c r="I55" s="258">
        <f t="shared" si="13"/>
        <v>0.28749999999999998</v>
      </c>
    </row>
    <row r="56" spans="1:9" x14ac:dyDescent="0.2">
      <c r="A56" s="112" t="s">
        <v>65</v>
      </c>
      <c r="B56" s="112"/>
      <c r="C56" s="112"/>
      <c r="D56" s="258">
        <f t="shared" ref="D56:I56" si="14">IF(D52="-","-",D52*$B$52)</f>
        <v>0.45791666666666664</v>
      </c>
      <c r="E56" s="258">
        <f t="shared" si="14"/>
        <v>0.4375</v>
      </c>
      <c r="F56" s="258">
        <f t="shared" si="14"/>
        <v>0.34416666666666668</v>
      </c>
      <c r="G56" s="258">
        <f t="shared" si="14"/>
        <v>0.39083333333333331</v>
      </c>
      <c r="H56" s="258">
        <f t="shared" si="14"/>
        <v>0.66499999999999992</v>
      </c>
      <c r="I56" s="258">
        <f t="shared" si="14"/>
        <v>0.39958333333333329</v>
      </c>
    </row>
    <row r="57" spans="1:9" x14ac:dyDescent="0.2">
      <c r="A57" s="115" t="s">
        <v>60</v>
      </c>
      <c r="B57" s="115"/>
      <c r="C57" s="115"/>
      <c r="D57" s="116">
        <f t="shared" ref="D57:I57" si="15">IF(D51="","",IF(D52="","",SUM(D55:D56)))</f>
        <v>0.74541666666666662</v>
      </c>
      <c r="E57" s="116">
        <f t="shared" si="15"/>
        <v>0.72499999999999998</v>
      </c>
      <c r="F57" s="116">
        <f t="shared" si="15"/>
        <v>0.6004166666666666</v>
      </c>
      <c r="G57" s="116">
        <f t="shared" si="15"/>
        <v>0.67833333333333323</v>
      </c>
      <c r="H57" s="116">
        <f t="shared" si="15"/>
        <v>0.9524999999999999</v>
      </c>
      <c r="I57" s="116">
        <f t="shared" si="15"/>
        <v>0.68708333333333327</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2026-05-12T01:16:33Z</dcterms:modified>
</cp:coreProperties>
</file>