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ENERGY/QUALITY/"/>
    </mc:Choice>
  </mc:AlternateContent>
  <xr:revisionPtr revIDLastSave="0" documentId="13_ncr:1_{FE8E0432-60E7-0748-9540-64B65F6352DE}" xr6:coauthVersionLast="47" xr6:coauthVersionMax="47" xr10:uidLastSave="{00000000-0000-0000-0000-000000000000}"/>
  <bookViews>
    <workbookView xWindow="2940" yWindow="500" windowWidth="22660" windowHeight="13900" tabRatio="715" xr2:uid="{00000000-000D-0000-FFFF-FFFF00000000}"/>
  </bookViews>
  <sheets>
    <sheet name="REPORT" sheetId="20" r:id="rId1"/>
    <sheet name="LOAD_SHEET" sheetId="30" r:id="rId2"/>
    <sheet name="OVERALL" sheetId="9" r:id="rId3"/>
    <sheet name="AGL" sheetId="21" r:id="rId4"/>
    <sheet name="ALINTA" sheetId="22" r:id="rId5"/>
    <sheet name="ENERGY AUSTRALIA" sheetId="23" r:id="rId6"/>
    <sheet name="ORIGIN" sheetId="26" r:id="rId7"/>
    <sheet name="RED ENERGY" sheetId="27" r:id="rId8"/>
    <sheet name="ENGIE" sheetId="28" r:id="rId9"/>
    <sheet name="MOMENTUM"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G51" i="11"/>
  <c r="H51" i="11"/>
  <c r="I51" i="11"/>
  <c r="D51" i="11"/>
  <c r="E51" i="28"/>
  <c r="F51" i="28"/>
  <c r="G51" i="28"/>
  <c r="H51" i="28"/>
  <c r="I51" i="28"/>
  <c r="D51" i="28"/>
  <c r="E51" i="27"/>
  <c r="F51" i="27"/>
  <c r="G51" i="27"/>
  <c r="H51" i="27"/>
  <c r="I51" i="27"/>
  <c r="D51" i="27"/>
  <c r="E51" i="26"/>
  <c r="F51" i="26"/>
  <c r="G51" i="26"/>
  <c r="H51" i="26"/>
  <c r="I51" i="26"/>
  <c r="D51" i="26"/>
  <c r="E51" i="23"/>
  <c r="F51" i="23"/>
  <c r="G51" i="23"/>
  <c r="H51" i="23"/>
  <c r="I51" i="23"/>
  <c r="D51" i="23"/>
  <c r="E51" i="22"/>
  <c r="F51" i="22"/>
  <c r="G51" i="22"/>
  <c r="H51" i="22"/>
  <c r="I51" i="22"/>
  <c r="D51" i="22"/>
  <c r="E51" i="21"/>
  <c r="F51" i="21"/>
  <c r="G51" i="21"/>
  <c r="H51" i="21"/>
  <c r="I51" i="21"/>
  <c r="D51" i="21"/>
  <c r="E69" i="9" l="1"/>
  <c r="F69" i="9"/>
  <c r="G69" i="9"/>
  <c r="H69" i="9"/>
  <c r="I69" i="9"/>
  <c r="J69" i="9"/>
  <c r="D69" i="9"/>
  <c r="B69" i="9"/>
  <c r="E51" i="9"/>
  <c r="F51" i="9"/>
  <c r="G51" i="9"/>
  <c r="H51" i="9"/>
  <c r="I51" i="9"/>
  <c r="J51" i="9"/>
  <c r="D51" i="9"/>
  <c r="A13" i="20"/>
  <c r="A12" i="20"/>
  <c r="L47" i="9"/>
  <c r="K47" i="9"/>
  <c r="A3" i="22" l="1"/>
  <c r="E55" i="11"/>
  <c r="F55" i="11"/>
  <c r="G55" i="11"/>
  <c r="H55" i="11"/>
  <c r="I55" i="11"/>
  <c r="D55" i="11"/>
  <c r="E55" i="28"/>
  <c r="F55" i="28"/>
  <c r="G55" i="28"/>
  <c r="H55" i="28"/>
  <c r="I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0" i="30"/>
  <c r="A9" i="30"/>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I2" i="9" l="1"/>
  <c r="H2" i="9"/>
  <c r="G2" i="9"/>
  <c r="F2" i="9"/>
  <c r="E2" i="9"/>
  <c r="J2" i="9"/>
  <c r="D2" i="9"/>
  <c r="I47" i="9"/>
  <c r="H47" i="9"/>
  <c r="G47" i="9"/>
  <c r="F47" i="9"/>
  <c r="E47" i="9"/>
  <c r="J47"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G48" i="26"/>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G4" i="26" l="1"/>
  <c r="G52" i="26" s="1"/>
  <c r="I45" i="9"/>
  <c r="AL10" i="20" s="1"/>
  <c r="AJ7" i="30" s="1"/>
  <c r="AF10" i="20"/>
  <c r="AD7" i="30" s="1"/>
  <c r="AF9" i="20"/>
  <c r="AD6" i="30" s="1"/>
  <c r="AF8" i="20"/>
  <c r="AD5" i="30" s="1"/>
  <c r="AD10"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K9" i="30" l="1"/>
  <c r="K11" i="30"/>
  <c r="P9" i="30"/>
  <c r="P11" i="30"/>
  <c r="AG9" i="30"/>
  <c r="AG11" i="30"/>
  <c r="AJ9" i="30"/>
  <c r="AJ11" i="30"/>
  <c r="E9" i="30"/>
  <c r="E11" i="30"/>
  <c r="H9" i="30"/>
  <c r="H11" i="30"/>
  <c r="Z9" i="30"/>
  <c r="Z11" i="30"/>
  <c r="U9" i="30"/>
  <c r="U11" i="30"/>
  <c r="AI9" i="30"/>
  <c r="AI11" i="30"/>
  <c r="AD9" i="30"/>
  <c r="AD11" i="30"/>
  <c r="AA9" i="30"/>
  <c r="AA11" i="30"/>
  <c r="W9" i="30"/>
  <c r="W11" i="30"/>
  <c r="F9" i="30"/>
  <c r="F11" i="30"/>
  <c r="N9" i="30"/>
  <c r="N11" i="30"/>
  <c r="X9" i="30"/>
  <c r="X11" i="30"/>
  <c r="L9" i="30"/>
  <c r="L11" i="30"/>
  <c r="T9" i="30"/>
  <c r="T11" i="30"/>
  <c r="AF9" i="30"/>
  <c r="AF11" i="30"/>
  <c r="J9" i="30"/>
  <c r="J11" i="30"/>
  <c r="S9" i="30"/>
  <c r="S11" i="30"/>
  <c r="G9" i="30"/>
  <c r="G11" i="30"/>
  <c r="Q9" i="30"/>
  <c r="Q11" i="30"/>
  <c r="O9" i="30"/>
  <c r="O11" i="30"/>
  <c r="Y9" i="30"/>
  <c r="Y11" i="30"/>
  <c r="AH9" i="30"/>
  <c r="AH11" i="30"/>
  <c r="G56" i="26"/>
  <c r="G57" i="26" s="1"/>
  <c r="G3" i="26" s="1"/>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AG10" i="20"/>
  <c r="AE7" i="30" s="1"/>
  <c r="H70" i="9"/>
  <c r="H71" i="9" s="1"/>
  <c r="AM9" i="20" s="1"/>
  <c r="AK6" i="30" s="1"/>
  <c r="AG9" i="20"/>
  <c r="AE6" i="30" s="1"/>
  <c r="G70" i="9"/>
  <c r="G71" i="9" s="1"/>
  <c r="AM8" i="20" s="1"/>
  <c r="AK5" i="30" s="1"/>
  <c r="AG8" i="20"/>
  <c r="AE5" i="30" s="1"/>
  <c r="AC11" i="20"/>
  <c r="AB8" i="30" s="1"/>
  <c r="AC10" i="30"/>
  <c r="AD11" i="20"/>
  <c r="AC8" i="30" s="1"/>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I37" i="11"/>
  <c r="I34" i="11" s="1"/>
  <c r="H37" i="11"/>
  <c r="H34" i="11" s="1"/>
  <c r="D37" i="11"/>
  <c r="D34" i="11" s="1"/>
  <c r="AE10" i="30" l="1"/>
  <c r="AE9" i="30"/>
  <c r="AE11" i="30"/>
  <c r="R9" i="30"/>
  <c r="R11" i="30"/>
  <c r="AB9" i="30"/>
  <c r="AB11" i="30"/>
  <c r="I9" i="30"/>
  <c r="I11" i="30"/>
  <c r="AK9" i="30"/>
  <c r="AK11" i="30"/>
  <c r="AK10" i="30"/>
  <c r="V9" i="30"/>
  <c r="V11" i="30"/>
  <c r="M9" i="30"/>
  <c r="M11" i="30"/>
  <c r="AC9" i="30"/>
  <c r="AC11" i="30"/>
  <c r="AB10" i="30"/>
  <c r="B19" i="9"/>
  <c r="B45" i="9"/>
  <c r="B29" i="9"/>
  <c r="B41" i="9"/>
  <c r="B14" i="9"/>
  <c r="B20" i="9"/>
  <c r="B24" i="9"/>
  <c r="B30" i="9"/>
  <c r="B31" i="9"/>
  <c r="B7" i="9"/>
  <c r="B26" i="9"/>
  <c r="B43" i="9"/>
  <c r="B15" i="9"/>
  <c r="B42" i="9"/>
  <c r="B25" i="9"/>
  <c r="B32" i="9"/>
  <c r="B13" i="9"/>
  <c r="B8" i="9"/>
  <c r="B21" i="9"/>
  <c r="B18" i="9"/>
  <c r="B10" i="9"/>
  <c r="B44" i="9"/>
  <c r="B9" i="9"/>
  <c r="M10" i="30"/>
  <c r="R10" i="30"/>
  <c r="V10" i="30"/>
  <c r="I10" i="30"/>
  <c r="E60" i="9"/>
  <c r="J70" i="9"/>
  <c r="J71" i="9" s="1"/>
  <c r="AM11" i="20" s="1"/>
  <c r="AK8" i="30" s="1"/>
  <c r="AG11" i="20"/>
  <c r="AE8" i="30" s="1"/>
  <c r="G60" i="9"/>
  <c r="F60" i="9"/>
  <c r="H60" i="9"/>
  <c r="I6" i="9"/>
  <c r="D10" i="20" s="1"/>
  <c r="D7" i="30" s="1"/>
  <c r="H6" i="9"/>
  <c r="D9" i="20" s="1"/>
  <c r="D6" i="30" s="1"/>
  <c r="F6" i="9"/>
  <c r="D7" i="20" s="1"/>
  <c r="D4" i="30" s="1"/>
  <c r="E6" i="9"/>
  <c r="D6" i="20" s="1"/>
  <c r="D3" i="30" s="1"/>
  <c r="J63" i="9"/>
  <c r="J66" i="9"/>
  <c r="J65" i="9"/>
  <c r="J64" i="9"/>
  <c r="D6" i="9"/>
  <c r="D9" i="30" l="1"/>
  <c r="D11" i="30"/>
  <c r="D10" i="30"/>
  <c r="J60" i="9"/>
  <c r="D55" i="9"/>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G17" i="27"/>
  <c r="F17" i="26"/>
  <c r="D17" i="28"/>
  <c r="F12" i="11"/>
  <c r="E12" i="28"/>
  <c r="G12" i="22"/>
  <c r="F12" i="26"/>
  <c r="D12" i="28"/>
  <c r="G12" i="27"/>
  <c r="E12" i="26"/>
  <c r="G12" i="28"/>
  <c r="G12" i="23"/>
  <c r="F23" i="11"/>
  <c r="E23" i="28"/>
  <c r="E23" i="26"/>
  <c r="F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I6" i="23"/>
  <c r="F6" i="23"/>
  <c r="G6" i="21"/>
  <c r="F6" i="21"/>
  <c r="H6" i="27"/>
  <c r="D6" i="21"/>
  <c r="I6" i="22"/>
  <c r="I6" i="27"/>
  <c r="H6" i="23"/>
  <c r="I6" i="28"/>
  <c r="E6" i="21"/>
  <c r="H6" i="21"/>
  <c r="I6" i="26"/>
  <c r="D6" i="27"/>
  <c r="H6" i="22"/>
  <c r="H6" i="28"/>
  <c r="I6" i="21"/>
  <c r="D6" i="22"/>
  <c r="E6" i="11"/>
  <c r="E6" i="22"/>
  <c r="G6" i="11"/>
  <c r="D6" i="23"/>
  <c r="E6" i="27"/>
  <c r="D6" i="11"/>
  <c r="I6" i="11"/>
  <c r="H6" i="11"/>
  <c r="I12" i="23"/>
  <c r="F12" i="23"/>
  <c r="E12" i="23"/>
  <c r="E12" i="21"/>
  <c r="F12" i="28"/>
  <c r="G12" i="21"/>
  <c r="D12" i="21"/>
  <c r="I12" i="22"/>
  <c r="F12" i="21"/>
  <c r="I12" i="28"/>
  <c r="F12" i="22"/>
  <c r="H12" i="23"/>
  <c r="E12" i="22"/>
  <c r="D12" i="22"/>
  <c r="F12" i="27"/>
  <c r="I12" i="21"/>
  <c r="D12" i="27"/>
  <c r="I12" i="26"/>
  <c r="D12" i="23"/>
  <c r="H12" i="21"/>
  <c r="H12" i="22"/>
  <c r="E12" i="11"/>
  <c r="I12" i="27"/>
  <c r="G12" i="11"/>
  <c r="H12" i="27"/>
  <c r="E12" i="27"/>
  <c r="H12" i="28"/>
  <c r="H12" i="11"/>
  <c r="I12" i="11"/>
  <c r="D12" i="11"/>
  <c r="F17" i="23"/>
  <c r="F17" i="21"/>
  <c r="D17" i="21"/>
  <c r="E17" i="11"/>
  <c r="H17" i="22"/>
  <c r="E17" i="23"/>
  <c r="D17" i="27"/>
  <c r="G17" i="11"/>
  <c r="F17" i="28"/>
  <c r="I17" i="22"/>
  <c r="D17" i="22"/>
  <c r="E17" i="27"/>
  <c r="H17" i="21"/>
  <c r="G17" i="21"/>
  <c r="I17" i="27"/>
  <c r="H17" i="28"/>
  <c r="I17" i="26"/>
  <c r="I17" i="21"/>
  <c r="E17" i="21"/>
  <c r="F17" i="22"/>
  <c r="D17" i="23"/>
  <c r="I17" i="23"/>
  <c r="E17" i="22"/>
  <c r="F17" i="27"/>
  <c r="H17" i="27"/>
  <c r="I17" i="28"/>
  <c r="H17" i="23"/>
  <c r="I17" i="11"/>
  <c r="D17" i="11"/>
  <c r="H17" i="11"/>
  <c r="I23" i="28"/>
  <c r="F23" i="28"/>
  <c r="I23" i="27"/>
  <c r="F23" i="22"/>
  <c r="F23" i="27"/>
  <c r="I23" i="21"/>
  <c r="D23" i="23"/>
  <c r="E23" i="27"/>
  <c r="E23" i="21"/>
  <c r="D23" i="21"/>
  <c r="I23" i="26"/>
  <c r="H23" i="23"/>
  <c r="H23" i="21"/>
  <c r="F23" i="21"/>
  <c r="F23" i="23"/>
  <c r="D23" i="27"/>
  <c r="G23" i="11"/>
  <c r="H23" i="22"/>
  <c r="E23" i="11"/>
  <c r="G23" i="21"/>
  <c r="D23" i="22"/>
  <c r="I23" i="22"/>
  <c r="H23" i="27"/>
  <c r="H23" i="28"/>
  <c r="E23" i="23"/>
  <c r="I23" i="23"/>
  <c r="E23" i="22"/>
  <c r="H23" i="11"/>
  <c r="I23" i="11"/>
  <c r="D23" i="11"/>
  <c r="I28" i="21"/>
  <c r="E28" i="21"/>
  <c r="H28" i="23"/>
  <c r="G28" i="21"/>
  <c r="H28" i="27"/>
  <c r="E28" i="22"/>
  <c r="E28" i="11"/>
  <c r="E28" i="27"/>
  <c r="F28" i="22"/>
  <c r="H28" i="22"/>
  <c r="F28" i="23"/>
  <c r="I28" i="26"/>
  <c r="F28" i="21"/>
  <c r="I28" i="27"/>
  <c r="I28" i="23"/>
  <c r="I28" i="22"/>
  <c r="F28" i="28"/>
  <c r="D28" i="21"/>
  <c r="D28" i="27"/>
  <c r="G28" i="11"/>
  <c r="I28" i="28"/>
  <c r="D28" i="22"/>
  <c r="H28" i="28"/>
  <c r="E28" i="23"/>
  <c r="H28" i="21"/>
  <c r="D28" i="23"/>
  <c r="F28" i="27"/>
  <c r="I28" i="11"/>
  <c r="H28" i="11"/>
  <c r="D28" i="11"/>
  <c r="A2" i="11"/>
  <c r="H5" i="26" l="1"/>
  <c r="H48" i="26"/>
  <c r="D5" i="26"/>
  <c r="D48" i="26"/>
  <c r="D48" i="28"/>
  <c r="D5" i="28"/>
  <c r="G48" i="22"/>
  <c r="G5" i="22"/>
  <c r="G48" i="27"/>
  <c r="G5" i="27"/>
  <c r="F48" i="26"/>
  <c r="F5" i="26"/>
  <c r="F5" i="11"/>
  <c r="F48" i="11"/>
  <c r="G5" i="28"/>
  <c r="G48" i="28"/>
  <c r="G48" i="23"/>
  <c r="G5" i="23"/>
  <c r="E5" i="28"/>
  <c r="E48" i="28"/>
  <c r="E5" i="26"/>
  <c r="E48" i="26"/>
  <c r="H5" i="21"/>
  <c r="D48" i="21"/>
  <c r="E48" i="21"/>
  <c r="E5" i="21"/>
  <c r="I48" i="28"/>
  <c r="E5" i="22"/>
  <c r="E5" i="27"/>
  <c r="E48" i="27"/>
  <c r="H5" i="23"/>
  <c r="H48" i="23"/>
  <c r="D5" i="23"/>
  <c r="D48" i="23"/>
  <c r="D4" i="23" s="1"/>
  <c r="I48" i="27"/>
  <c r="I5" i="27"/>
  <c r="G48" i="11"/>
  <c r="G5" i="11"/>
  <c r="I5" i="22"/>
  <c r="I48" i="22"/>
  <c r="H48" i="27"/>
  <c r="H5" i="27"/>
  <c r="E48" i="22"/>
  <c r="E48" i="11"/>
  <c r="E5" i="11"/>
  <c r="D48" i="22"/>
  <c r="D4" i="22" s="1"/>
  <c r="D5" i="22"/>
  <c r="F5" i="21"/>
  <c r="F48" i="21"/>
  <c r="I48" i="21"/>
  <c r="I5" i="21"/>
  <c r="G5" i="21"/>
  <c r="G48" i="21"/>
  <c r="H5" i="28"/>
  <c r="H48" i="28"/>
  <c r="F5" i="23"/>
  <c r="F48" i="23"/>
  <c r="H5" i="22"/>
  <c r="H48" i="22"/>
  <c r="I48" i="23"/>
  <c r="I5" i="23"/>
  <c r="D5" i="27"/>
  <c r="D48" i="27"/>
  <c r="D4" i="27" s="1"/>
  <c r="F5" i="27"/>
  <c r="F48" i="27"/>
  <c r="F5" i="22"/>
  <c r="F48" i="22"/>
  <c r="I5" i="28"/>
  <c r="I5" i="26"/>
  <c r="I48" i="26"/>
  <c r="I4" i="26" s="1"/>
  <c r="F5" i="28"/>
  <c r="F48" i="28"/>
  <c r="F4" i="28" s="1"/>
  <c r="D5" i="21"/>
  <c r="H48"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G4" i="11" l="1"/>
  <c r="G52" i="11" s="1"/>
  <c r="G56" i="11" s="1"/>
  <c r="G57" i="11" s="1"/>
  <c r="G3" i="11" s="1"/>
  <c r="E4" i="27"/>
  <c r="E52" i="27" s="1"/>
  <c r="E56" i="27" s="1"/>
  <c r="E57" i="27" s="1"/>
  <c r="E3" i="27" s="1"/>
  <c r="E4" i="28"/>
  <c r="E52" i="28" s="1"/>
  <c r="E56" i="28" s="1"/>
  <c r="E57" i="28" s="1"/>
  <c r="E3" i="28" s="1"/>
  <c r="G4" i="28"/>
  <c r="G52" i="28" s="1"/>
  <c r="G56" i="28" s="1"/>
  <c r="G57" i="28" s="1"/>
  <c r="G3" i="28"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F4" i="27"/>
  <c r="F52" i="27" s="1"/>
  <c r="F56" i="27" s="1"/>
  <c r="F57" i="27" s="1"/>
  <c r="F3" i="27" s="1"/>
  <c r="I4" i="21"/>
  <c r="I52" i="21" s="1"/>
  <c r="I56" i="21" s="1"/>
  <c r="I57" i="21" s="1"/>
  <c r="I3" i="21" s="1"/>
  <c r="E4" i="11"/>
  <c r="E52" i="11" s="1"/>
  <c r="E56" i="11" s="1"/>
  <c r="E57" i="11" s="1"/>
  <c r="E3" i="11" s="1"/>
  <c r="I4" i="22"/>
  <c r="I52" i="22" s="1"/>
  <c r="I56" i="22" s="1"/>
  <c r="I57" i="22" s="1"/>
  <c r="I3" i="22" s="1"/>
  <c r="I4" i="27"/>
  <c r="I52" i="27" s="1"/>
  <c r="I56" i="27" s="1"/>
  <c r="I57" i="27" s="1"/>
  <c r="I3" i="27" s="1"/>
  <c r="E4" i="26"/>
  <c r="E52" i="26" s="1"/>
  <c r="E56" i="26" s="1"/>
  <c r="E57" i="26" s="1"/>
  <c r="E3" i="26" s="1"/>
  <c r="F4" i="11"/>
  <c r="F52" i="11" s="1"/>
  <c r="F56" i="11" s="1"/>
  <c r="F57" i="11" s="1"/>
  <c r="F3" i="11" s="1"/>
  <c r="H4" i="26"/>
  <c r="H52" i="26" s="1"/>
  <c r="E4" i="23"/>
  <c r="E52" i="23" s="1"/>
  <c r="E56" i="23" s="1"/>
  <c r="E57" i="23" s="1"/>
  <c r="E3" i="23" s="1"/>
  <c r="H4" i="28"/>
  <c r="H52" i="28" s="1"/>
  <c r="H56" i="28" s="1"/>
  <c r="H57" i="28" s="1"/>
  <c r="H3" i="28" s="1"/>
  <c r="H4" i="23"/>
  <c r="H52" i="23" s="1"/>
  <c r="H56" i="23" s="1"/>
  <c r="H57" i="23" s="1"/>
  <c r="H3" i="23" s="1"/>
  <c r="F4" i="22"/>
  <c r="F52" i="22" s="1"/>
  <c r="F56" i="22" s="1"/>
  <c r="F57" i="22" s="1"/>
  <c r="F3" i="22" s="1"/>
  <c r="F4" i="23"/>
  <c r="F52" i="23" s="1"/>
  <c r="F56" i="23" s="1"/>
  <c r="F57" i="23" s="1"/>
  <c r="F3" i="23" s="1"/>
  <c r="G4" i="21"/>
  <c r="G52" i="21" s="1"/>
  <c r="G56" i="21" s="1"/>
  <c r="G57" i="21" s="1"/>
  <c r="G3" i="21" s="1"/>
  <c r="F4" i="21"/>
  <c r="F52" i="21" s="1"/>
  <c r="F56" i="21" s="1"/>
  <c r="F57" i="21" s="1"/>
  <c r="F3" i="21" s="1"/>
  <c r="H4" i="27"/>
  <c r="H52" i="27" s="1"/>
  <c r="H56" i="27" s="1"/>
  <c r="H57" i="27" s="1"/>
  <c r="H3" i="27"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F52" i="28"/>
  <c r="B5" i="22"/>
  <c r="E5" i="9" s="1"/>
  <c r="B5" i="27"/>
  <c r="H5" i="9" s="1"/>
  <c r="D52" i="23"/>
  <c r="D52" i="27"/>
  <c r="B5" i="23"/>
  <c r="F5" i="9" s="1"/>
  <c r="I52" i="26"/>
  <c r="B5" i="28"/>
  <c r="I5" i="9" s="1"/>
  <c r="I5" i="11"/>
  <c r="I48" i="11"/>
  <c r="I4" i="11" s="1"/>
  <c r="H5" i="11"/>
  <c r="H48" i="11"/>
  <c r="H4" i="11" s="1"/>
  <c r="D5" i="11"/>
  <c r="D48" i="11"/>
  <c r="D4" i="11" s="1"/>
  <c r="AF5" i="20"/>
  <c r="AD2" i="30" s="1"/>
  <c r="B4" i="28" l="1"/>
  <c r="I4" i="9" s="1"/>
  <c r="I52" i="9" s="1"/>
  <c r="I56" i="9" s="1"/>
  <c r="B4" i="26"/>
  <c r="G4" i="9" s="1"/>
  <c r="G52" i="9" s="1"/>
  <c r="G56" i="9" s="1"/>
  <c r="G57" i="9" s="1"/>
  <c r="G67" i="9" s="1"/>
  <c r="G48" i="9" s="1"/>
  <c r="G3" i="9" s="1"/>
  <c r="H56" i="26"/>
  <c r="H57" i="26" s="1"/>
  <c r="H3" i="26" s="1"/>
  <c r="D56" i="26"/>
  <c r="D57" i="26" s="1"/>
  <c r="D3" i="26" s="1"/>
  <c r="B4" i="21"/>
  <c r="D4" i="9" s="1"/>
  <c r="B4" i="23"/>
  <c r="F4" i="9" s="1"/>
  <c r="F52" i="9" s="1"/>
  <c r="F56" i="9" s="1"/>
  <c r="F57" i="9" s="1"/>
  <c r="F67" i="9" s="1"/>
  <c r="F48" i="9" s="1"/>
  <c r="F3" i="9" s="1"/>
  <c r="B4" i="22"/>
  <c r="E4" i="9" s="1"/>
  <c r="C6" i="20" s="1"/>
  <c r="C3" i="30" s="1"/>
  <c r="D52" i="28"/>
  <c r="D56" i="28" s="1"/>
  <c r="B4" i="27"/>
  <c r="H4" i="9" s="1"/>
  <c r="H52" i="9" s="1"/>
  <c r="H56" i="9" s="1"/>
  <c r="H57" i="9" s="1"/>
  <c r="H67" i="9" s="1"/>
  <c r="H48" i="9" s="1"/>
  <c r="H3" i="9" s="1"/>
  <c r="D56" i="27"/>
  <c r="D57" i="27" s="1"/>
  <c r="D3" i="27" s="1"/>
  <c r="D56" i="23"/>
  <c r="D57" i="23" s="1"/>
  <c r="D3" i="23" s="1"/>
  <c r="F56" i="28"/>
  <c r="F57" i="28" s="1"/>
  <c r="F3" i="28"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AK5" i="20"/>
  <c r="AI2" i="30" s="1"/>
  <c r="C33" i="11"/>
  <c r="B28" i="11" s="1"/>
  <c r="J28" i="9" s="1"/>
  <c r="C27" i="11"/>
  <c r="B23" i="11" s="1"/>
  <c r="J23" i="9" s="1"/>
  <c r="C16" i="11"/>
  <c r="B12" i="11" s="1"/>
  <c r="J12" i="9" s="1"/>
  <c r="C22" i="11"/>
  <c r="B17" i="11" s="1"/>
  <c r="J17" i="9" s="1"/>
  <c r="C11" i="11"/>
  <c r="C37" i="11"/>
  <c r="C10" i="20" l="1"/>
  <c r="C7" i="30" s="1"/>
  <c r="B9" i="20"/>
  <c r="B6" i="30" s="1"/>
  <c r="B3" i="27"/>
  <c r="B8" i="20"/>
  <c r="B5" i="30" s="1"/>
  <c r="B3" i="26"/>
  <c r="B7" i="20"/>
  <c r="B4" i="30" s="1"/>
  <c r="B3" i="23"/>
  <c r="B9" i="30"/>
  <c r="B11"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I52" i="11"/>
  <c r="I56" i="11" s="1"/>
  <c r="H52" i="11"/>
  <c r="H56" i="11" s="1"/>
  <c r="H57" i="11" s="1"/>
  <c r="H3" i="11" s="1"/>
  <c r="B34" i="11"/>
  <c r="AG5" i="20"/>
  <c r="AE2" i="30" s="1"/>
  <c r="D70" i="9"/>
  <c r="D71" i="9" s="1"/>
  <c r="AM5" i="20" s="1"/>
  <c r="AK2" i="30" s="1"/>
  <c r="B6" i="11"/>
  <c r="D52" i="11"/>
  <c r="B4" i="11"/>
  <c r="D66" i="9"/>
  <c r="D65" i="9"/>
  <c r="D64" i="9"/>
  <c r="D63" i="9"/>
  <c r="AC10" i="20"/>
  <c r="AB7" i="30" s="1"/>
  <c r="AD10" i="20"/>
  <c r="AC7" i="30" s="1"/>
  <c r="S5" i="20"/>
  <c r="S2" i="30" s="1"/>
  <c r="E5" i="20"/>
  <c r="E2" i="30" s="1"/>
  <c r="AD6" i="20"/>
  <c r="AC3" i="30" s="1"/>
  <c r="AC6" i="20"/>
  <c r="AB3" i="30" s="1"/>
  <c r="W5" i="20"/>
  <c r="W2" i="30" s="1"/>
  <c r="B6" i="20" l="1"/>
  <c r="B3" i="30" s="1"/>
  <c r="B3" i="22"/>
  <c r="C10" i="30"/>
  <c r="C9" i="30"/>
  <c r="C11" i="30"/>
  <c r="AB5" i="20"/>
  <c r="AA2" i="30" s="1"/>
  <c r="J34" i="9"/>
  <c r="B5" i="11"/>
  <c r="J5" i="9" s="1"/>
  <c r="B5" i="9" s="1"/>
  <c r="J6" i="9"/>
  <c r="D52" i="9"/>
  <c r="J4" i="9"/>
  <c r="B4" i="9" s="1"/>
  <c r="I57" i="11"/>
  <c r="I3" i="11" s="1"/>
  <c r="D60" i="9"/>
  <c r="D56" i="11"/>
  <c r="D57" i="11" s="1"/>
  <c r="D3" i="11" s="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C35" i="20"/>
  <c r="C32" i="30" s="1"/>
  <c r="B70" i="9" l="1"/>
  <c r="AG35" i="20"/>
  <c r="AE32" i="30" s="1"/>
  <c r="AF35" i="20"/>
  <c r="AD32" i="30" s="1"/>
  <c r="AE35" i="20"/>
  <c r="A3" i="21" l="1"/>
  <c r="D47" i="9"/>
  <c r="D55" i="28" l="1"/>
  <c r="D57" i="28" s="1"/>
  <c r="D3" i="28" s="1"/>
  <c r="I71" i="9" l="1"/>
  <c r="AM10" i="20" s="1"/>
  <c r="AK7" i="30" s="1"/>
  <c r="B51" i="9" l="1"/>
  <c r="I55" i="9"/>
  <c r="I57" i="9" s="1"/>
  <c r="I60" i="9"/>
  <c r="B71" i="9"/>
  <c r="AM35" i="20" s="1"/>
  <c r="AK32" i="30" s="1"/>
  <c r="I67" i="9" l="1"/>
  <c r="I48" i="9" s="1"/>
  <c r="I3" i="9" s="1"/>
  <c r="B10" i="20" s="1"/>
  <c r="B7" i="30" s="1"/>
  <c r="B55" i="9"/>
  <c r="B59" i="9"/>
  <c r="B57" i="9"/>
  <c r="B3" i="28" l="1"/>
  <c r="B48" i="9"/>
  <c r="B3" i="9" s="1"/>
  <c r="B35" i="20" s="1"/>
  <c r="B32" i="30" s="1"/>
</calcChain>
</file>

<file path=xl/sharedStrings.xml><?xml version="1.0" encoding="utf-8"?>
<sst xmlns="http://schemas.openxmlformats.org/spreadsheetml/2006/main" count="2512" uniqueCount="198">
  <si>
    <t>sample</t>
  </si>
  <si>
    <t xml:space="preserve"> </t>
  </si>
  <si>
    <t>EXCEEDS EXPECTATIONS</t>
  </si>
  <si>
    <t>MEETS EXPECTATIONS</t>
  </si>
  <si>
    <t>BELOW EXPECTATIONS</t>
  </si>
  <si>
    <t>ACXPA Benchmarking Results</t>
  </si>
  <si>
    <t>&lt; 45%</t>
  </si>
  <si>
    <t>POOR</t>
  </si>
  <si>
    <t>OUTSTANDING</t>
  </si>
  <si>
    <t>ENGAGE</t>
  </si>
  <si>
    <t>DISCOVER</t>
  </si>
  <si>
    <t>EDUCATE</t>
  </si>
  <si>
    <t>CLOSE</t>
  </si>
  <si>
    <t>ENERGY</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</si>
  <si>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</si>
  <si>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</si>
  <si>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</si>
  <si>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</si>
  <si>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</si>
  <si>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</si>
  <si>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</si>
  <si>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</si>
  <si>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</si>
  <si>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</si>
  <si>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</si>
  <si>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</si>
  <si>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</si>
  <si>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</si>
  <si>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</si>
  <si>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</si>
  <si>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</si>
  <si>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</si>
  <si>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</si>
  <si>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</si>
  <si>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</si>
  <si>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</si>
  <si>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</si>
  <si>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</si>
  <si>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</si>
  <si>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</si>
  <si>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</si>
  <si>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</si>
  <si>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</si>
  <si>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</si>
  <si>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</si>
  <si>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</si>
  <si>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</si>
  <si>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</si>
  <si>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</si>
  <si>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</si>
  <si>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</si>
  <si>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</si>
  <si>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</si>
  <si>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</si>
  <si>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</si>
  <si>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</si>
  <si>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</si>
  <si>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</si>
  <si>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</si>
  <si>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</si>
  <si>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</si>
  <si>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</si>
  <si>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</si>
  <si>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</si>
  <si>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</si>
  <si>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</si>
  <si>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</si>
  <si>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</si>
  <si>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</si>
  <si>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</si>
  <si>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</si>
  <si>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</si>
  <si>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</si>
  <si>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</si>
  <si>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</si>
  <si>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</si>
  <si>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</si>
  <si>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</si>
  <si>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</si>
  <si>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</si>
  <si>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</si>
  <si>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</si>
  <si>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</si>
  <si>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</si>
  <si>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</si>
  <si>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</si>
  <si>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</si>
  <si>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</si>
  <si>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</si>
  <si>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</si>
  <si>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AGL</t>
  </si>
  <si>
    <t>ALINTA</t>
  </si>
  <si>
    <t>ENERGY AUSTRALIA</t>
  </si>
  <si>
    <t>ORIGIN</t>
  </si>
  <si>
    <t>RED ENERGY</t>
  </si>
  <si>
    <t>ENGIE</t>
  </si>
  <si>
    <t>MOMENTUM</t>
  </si>
  <si>
    <t>ENERGY 8</t>
  </si>
  <si>
    <t>ENERGY 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</si>
  <si>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</si>
  <si>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</si>
  <si>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</si>
  <si>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</si>
  <si>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</si>
  <si>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</si>
  <si>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</si>
  <si>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</si>
  <si>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</si>
  <si>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</si>
  <si>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</si>
  <si>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</si>
  <si>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</si>
  <si>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</si>
  <si>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</si>
  <si>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</si>
  <si>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</si>
  <si>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</si>
  <si>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</si>
  <si>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</si>
  <si>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</si>
  <si>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0384004085</t>
  </si>
  <si>
    <t>n</t>
  </si>
  <si>
    <t>y</t>
  </si>
  <si>
    <t>Unclear</t>
  </si>
  <si>
    <t>Had all the elements but muffled and very quiet, hard to hear. Breathing into the microphone distracting and annoying. Bit haphazard in her process - call felt kind of all over the place and took a long time. No needs discovery, just pitched best plan. When caller said no to the offer, went back to pitch another plan (again with no needs discovery). Drawn out boring call. Mostly just dial-a-quote. Did thank for call but sounded rote.</t>
  </si>
  <si>
    <t>Line was breaking up at the start - operator didn't re-introduce herself. Restated to make sure she'd understood. No needs discovery - listed cheapest option &amp; best for solar. Good additional relevant info about how to pick the best plan for her. Explained she could sign up online but didn't educate around how.</t>
  </si>
  <si>
    <t>Jen</t>
  </si>
  <si>
    <t>Restate and confirm in one, good use of name up front. Asked what benefits caller was looking for in a plan. Some good info about the plan as well as rates.</t>
  </si>
  <si>
    <t>Greeting a bit fast - couldn't catch her name. Asked for first name in greeting and used it up front. Could have kept better informed through silence while checking address - borderline but still N for control as caller having to get their own needs met re solar through asking questions after the initial pitch (no check for questions) as no needs discovery, offered best plan. Little bit scripted sounding.</t>
  </si>
  <si>
    <t>Jamaan</t>
  </si>
  <si>
    <t>Good restate and confirm up front. Natural and conversational throughout. Asked name a little later in the conversation - used well throughout. Good check for questions on a couple of occasions.</t>
  </si>
  <si>
    <t>Lon?</t>
  </si>
  <si>
    <t xml:space="preserve">Attempted a statement of intent - 'no worries I can definitely help you with that' - could be stronger as a little rushed but works in this instance. Could have kept better informed through silences so the caller knows what's happening. A bit hard to understand in places - slowing down would help. Good bridge further into the call - this could be moved up front to give context to the conversation to come. Good check for questions at the end of the explanation. N for inform as it got hard to take in info as there was lot given. </t>
  </si>
  <si>
    <t>Pace was very fast throughout. Almost a statement of intent but not effective. Did bridge (told caller what she'd need from her to then get the rates). Asked name a little further in. Could have kept better informed through silences. Pitched based on NMI, no needs discovery. Very scripted while reading out information on plan. Offered personal number for caller to ring back.</t>
  </si>
  <si>
    <t>Sanjudi</t>
  </si>
  <si>
    <t>Raymond</t>
  </si>
  <si>
    <t xml:space="preserve">Good restate of the caller's enquiry - clearly understood it was their first time. Asked name and did use it, but was quite transactional - sounded like he was starting the sign up (first name, last name, title). Went downhill from there - tried to tell the caller he'd need to create an account to give prices. Didn't keep informed through silence, wasn't clear what he was doing to help. Came back to say he'd give an estimate, didn't give specific rates. Tone good up front, got a bit flat when giving plan info. Did check for questions. </t>
  </si>
  <si>
    <t>Liam?</t>
  </si>
  <si>
    <t>Greeting a bit choppy but might have been us so gave benefit. No needs discovery or personalisation, dial-a-quote style, just gave rates then asked for sale. Gave some good info about checking the govt comparison site.</t>
  </si>
  <si>
    <t>Ira</t>
  </si>
  <si>
    <t>Polite manner. Kept informed well. Confirmation questions asked but nothing about needs. Good info about how the plan works as well as rates. Offered a call back.</t>
  </si>
  <si>
    <t xml:space="preserve">Unclear </t>
  </si>
  <si>
    <t>Couldn't hear greeting but think it was an us thing, so gave benefit. Restated up front to confirm. Polite manner but didn't personalise the call. Bit of industry jargon that caller had to ask about. Abrupt close once caller said she was shopping around.</t>
  </si>
  <si>
    <t>Ross?</t>
  </si>
  <si>
    <t>Bright clear statement of intent and friendly manner. Gave additional info about referral bonuses. Conversational style. Offered to email out a quote. Didn't explicitly thank for time but close was warm and personalised, using the caller's name and wishing her luck for the move.</t>
  </si>
  <si>
    <t>Bright warm tone. Didn't listen closely enough to the caller's initial enquiry - she clearly said she'd never had energy in her name before, so the question confirming she was with a different retailer was confusing. Good check for where the caller was at in their process - if they'd done any research and if they were looking for anything in particular. Did the awkard 'how's your day been' attempt to engage while bringing up his system again but the conversation after the question was natural and engaging. Put on hold while rebooting system - managed hold process well though it was only for a second. Later in the call asked if she had a bill to compare, despte establishing earlier she was moving out of home and hadn't had anything in her name before. A lot of info covered - checking for questions would be good given she was new to everything. Interrupted to say he could send out a quote/ organise a callback.</t>
  </si>
  <si>
    <t>Mark</t>
  </si>
  <si>
    <t>Greeting too fast - couldn't really understand him. Pace continued fast in places and fine in others, bit inconsistent. Good use of name throughout. Explanations were pretty clear. Call dropped out so n/a the rest.</t>
  </si>
  <si>
    <t>Zini</t>
  </si>
  <si>
    <t>Transactional, could have better kept informed. Bit of a dial-a-quote. Gave rates for electricity - didn't ask about whether the caller was also after gas. Close was friendly.</t>
  </si>
  <si>
    <t>Enzo</t>
  </si>
  <si>
    <t>One needs question - started open but closed it (what are you looking for in a plan? The most affordable?). Sounded natural but was reading a script - wasn't space for the caller to interject. Sounded like he was going to cry when caller said they were shopping around and refused a callback.</t>
  </si>
  <si>
    <t>Greg</t>
  </si>
  <si>
    <t xml:space="preserve">Warm and engaging manner, kept informed well while looking up info. Took a while to get to the meter numbers - advised she'd probably have to check the gas meter number before going ahead. Could have been more efficient with that part of the call, seemed to go on for a while. Plan info was quite info dumpy - a lot to take in. This could have been explained more clearly with space for questions. </t>
  </si>
  <si>
    <t>Monta</t>
  </si>
  <si>
    <t>Almost a statement of intent but not quite strong enough. Natural manner though not much personalisation. Put on hold while getting quotes ready - their process is to email quote out, so offered to read the rates or caller could look on the quote. Didn't ask for sale as he was emailing out quotes to look at but did offer a followup call.</t>
  </si>
  <si>
    <t>wait time</t>
  </si>
  <si>
    <t>Roxy?</t>
  </si>
  <si>
    <t>Statement of intent didn't have strong language but was attempted - bit scripted sounding. Silence while looking up info - could have kept better informed. Natural tone but a bit transactional in focus. Close was all about the operator - very focussed on telling the caller how to rate the post-call survey, cut off before caller could say anything.</t>
  </si>
  <si>
    <t>Chel</t>
  </si>
  <si>
    <t>Confirmation of assistance was a little overdone but still okay. Did bridge but didn't do any needs discovery - checked address. Couldn't find the meter at that address. Advised to find out meter number and call back. Offered a callback.</t>
  </si>
  <si>
    <t>Pete</t>
  </si>
  <si>
    <t>Advised while checking address that they have a deal if the caller signs up online they'll get a $100 credit. Advised rates. Clear info.</t>
  </si>
  <si>
    <t>Savvy</t>
  </si>
  <si>
    <t>Asked existing provider before asking name, though still asked name early. Bit abrupt in style. Long unexplained silence. Pitched internet as well. Very abrupt close.</t>
  </si>
  <si>
    <t>Rani</t>
  </si>
  <si>
    <t>Attempted a confirmation of assistance. Pushy about getting caller's number for a callback if the line dropped out. Asked name later in the call - last name first name, but transactional though did use it. Came across as wanting to help. Little info dumpy but the info was clear. Bit pushy in the close.</t>
  </si>
  <si>
    <t>Gill</t>
  </si>
  <si>
    <t>Clear statement of intent but sounded kind of asleep and not genuine. No needs discovery - pitched cheapest plan. Tone a bit flat, lacking energy. Assumptive close. Dial-a-quote. Close had nice words but didn't sound genuine and hung up before caller could acknowledge. Advised couldn't find meter number, would have to get that and call back to connect.</t>
  </si>
  <si>
    <t>Service call rather than sales - address used was on an embedded network so couldn't service that property. Still gave great info and a good experience.</t>
  </si>
  <si>
    <t>Allan</t>
  </si>
  <si>
    <t xml:space="preserve">Natural manner, conversational style. Good use of name. Bridged well after getting the address with a restate - this was awesome but could be done earlier. Call was well structured and didn't overwhelm the caller with info - gave options of receiving more. </t>
  </si>
  <si>
    <t>Cat</t>
  </si>
  <si>
    <t>Advised up front new system, could email terms and conditions to accept if they could access their email while on the phone. Bright friendly tone. Call went silent for ages - think it was a them problem rather than an us issue. Ended up hanging up.</t>
  </si>
  <si>
    <t>Harriet</t>
  </si>
  <si>
    <t>Little info dumpy in style, natural manner. Objection management was good, not too pushy. Didn't use name though given up front - she might have missed it as line cutting out but didn't ask for it until later in the call.</t>
  </si>
  <si>
    <t>Ryan</t>
  </si>
  <si>
    <t>Natural and warm manner. Proactive info given about energy in NSW. A little bit info dumpy in style - could check for questions/ keep the caller more involved in a conversation rather than overloading with info - shopper noted the volume of info felt a bit overwhelming. Asked name halfway through the call. Offered a callback/ to email out quote. Pace a bit fast at times.</t>
  </si>
  <si>
    <t>Alex</t>
  </si>
  <si>
    <t>Asked name to create profile, did use it at that point but could have been done earlier. Natural manner, little bit scripted when giving some of the plan info. Checked sat but not for questions. Advised he worked on commission - not the customer's problem. Gave direct line.</t>
  </si>
  <si>
    <t xml:space="preserve">Call muffled at the start - couldn't hear her name. Bit muffly throughout but audible. Gave an estimate how long the call would be and checked caller's ok before going ahead. Warm tone. Put on hold to try and find meter when it didn't come up straight away - managed hold process well. Clear info, good check for questions before asking for sale. </t>
  </si>
  <si>
    <t>Mel</t>
  </si>
  <si>
    <t>Bright tone, clear confirmation of assistance up front. Couldn't find the meter - managed this well with good additional info around embedded networks and getting the NMI and giving them a ring back. Gave good service and clear next steps though she couldn't give the rates on the call.</t>
  </si>
  <si>
    <t>Neddy?</t>
  </si>
  <si>
    <t>Asked name in greeting - used it up front before asking how he could help. Restated enquiry but attempt at a confirmation of assistance wasn't strong or clear enough. Bridge was also a good attempt but not quite strong enough - no management of expectations around 'checking needs' 'questions' or a 'chat' (i.e discovery) within it. Close but no cigar as it suggests just a pitch of info only - which is what he did. Didn't confirm what was important to caller, just went into explaining 'best plan' which felt a bit info dumpy and impersonal though it was explained clearly. Natural communication style, confident manner.  Offered a callback/ to email out rates.</t>
  </si>
  <si>
    <t>Straight into checking address. Transactional feeling though tone was positive. Did the usual AGL 'oh wait we have another plan' once caller didn't want to commit to the initial offer. Dial-a-quote call, was all about the rates. Went silent when she said she still wanted to shop around. No structure to the tail end of the call.</t>
  </si>
  <si>
    <t>Linda</t>
  </si>
  <si>
    <t>Natural tone, though started off sounding transactional with 'just have to read out this scripting'. No needs discovery - straight into reading out 'best plan'. Made it kind of obvious her whole process was scripted. 'I'll just select yes to that as that's why you've called'. Offered to sign caller up. Dial-a-quote conversation. Close was managed well.</t>
  </si>
  <si>
    <t>Tish?</t>
  </si>
  <si>
    <t>Asked what state she was calling from, then basically told her don't bother - Origin's rates would be very similar to what she'd already be paying. "It's not really worth it, I'll tell you why…". Advised to google the govt comparison website, they wouldn't be in the top 5. Website education but not about Origin's website.</t>
  </si>
  <si>
    <t>Guipe</t>
  </si>
  <si>
    <t xml:space="preserve">No how can I help in greeting. Almost a statement of intent - lacked strong language. Tone positive but flat in places, lacked vibrancy - easy going and maybe a little too laid back. Could have kept better informed through silences. </t>
  </si>
  <si>
    <t>Hannah?</t>
  </si>
  <si>
    <t>Attempted bridge but not strong enough. Asked who her current provider was, as well as reason for switching and from that deduced cost was the primary need though she didn't confirm that. Sounded a bit scripted in places - not as natural and personal as she could have. Missed opportunity to empathise with caller's reason for switching. Dial-a-quote, just gave the rates. Boring to listen to while reading them out. Good check for questions. Advised to call back once she'd decided.</t>
  </si>
  <si>
    <t>Aliya</t>
  </si>
  <si>
    <t>bright warm tone. Straight into asking address details. Felt like she was talking with the caller not at them. Advised they do work on commission so she'd want to be the one to sign the caller up. Good objection management - asked what else might be stopping her from signing up then. Emailed out quote.</t>
  </si>
  <si>
    <t>JANUARY 2026</t>
  </si>
  <si>
    <t>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</si>
</sst>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6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4">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top/>
      <bottom/>
      <diagonal/>
    </border>
  </borders>
  <cellStyleXfs count="3">
    <xf numFmtId="0" fontId="0" fillId="0" borderId="0"/>
    <xf numFmtId="9" fontId="13" fillId="0" borderId="0" applyFont="0" applyFill="0" applyBorder="0" applyAlignment="0" applyProtection="0"/>
    <xf numFmtId="0" fontId="40" fillId="0" borderId="0"/>
  </cellStyleXfs>
  <cellXfs count="357">
    <xf numFmtId="0" fontId="0" fillId="0" borderId="0" xfId="0"/>
    <xf numFmtId="9" fontId="18" fillId="3" borderId="1" xfId="0" applyNumberFormat="1" applyFont="1" applyFill="1" applyBorder="1" applyAlignment="1">
      <alignment horizontal="center" vertical="center"/>
    </xf>
    <xf numFmtId="0" fontId="19" fillId="4" borderId="0" xfId="0" applyFont="1" applyFill="1" applyAlignment="1">
      <alignment horizontal="right" vertical="center"/>
    </xf>
    <xf numFmtId="9" fontId="0" fillId="2" borderId="2" xfId="1" applyFont="1" applyFill="1" applyBorder="1" applyAlignment="1">
      <alignment horizontal="center" vertical="center"/>
    </xf>
    <xf numFmtId="0" fontId="17" fillId="0" borderId="0" xfId="0" applyFont="1"/>
    <xf numFmtId="0" fontId="21" fillId="4" borderId="0" xfId="0" applyFont="1" applyFill="1" applyAlignment="1">
      <alignment horizontal="right" vertical="center"/>
    </xf>
    <xf numFmtId="9" fontId="0" fillId="2" borderId="0" xfId="1" applyFont="1" applyFill="1" applyBorder="1" applyAlignment="1">
      <alignment horizontal="center" vertical="center"/>
    </xf>
    <xf numFmtId="9" fontId="24" fillId="6" borderId="3" xfId="0" applyNumberFormat="1" applyFont="1" applyFill="1" applyBorder="1" applyAlignment="1">
      <alignment horizontal="center"/>
    </xf>
    <xf numFmtId="0" fontId="24" fillId="6" borderId="4" xfId="0" applyFont="1" applyFill="1" applyBorder="1" applyAlignment="1">
      <alignment horizontal="center"/>
    </xf>
    <xf numFmtId="0" fontId="24" fillId="6" borderId="5" xfId="0" applyFont="1" applyFill="1" applyBorder="1" applyAlignment="1">
      <alignment horizontal="center"/>
    </xf>
    <xf numFmtId="9" fontId="18" fillId="0" borderId="1" xfId="0" applyNumberFormat="1" applyFont="1" applyBorder="1" applyAlignment="1">
      <alignment horizontal="center" vertical="center"/>
    </xf>
    <xf numFmtId="0" fontId="27" fillId="12" borderId="3" xfId="0" applyFont="1" applyFill="1" applyBorder="1" applyAlignment="1">
      <alignment horizontal="center" vertical="center"/>
    </xf>
    <xf numFmtId="0" fontId="28" fillId="13" borderId="3" xfId="0" applyFont="1" applyFill="1" applyBorder="1" applyAlignment="1">
      <alignment horizontal="center" vertical="center"/>
    </xf>
    <xf numFmtId="0" fontId="27" fillId="7" borderId="4" xfId="0" applyFont="1" applyFill="1" applyBorder="1" applyAlignment="1">
      <alignment horizontal="center" vertical="center"/>
    </xf>
    <xf numFmtId="0" fontId="27" fillId="9" borderId="5" xfId="0" applyFont="1" applyFill="1" applyBorder="1" applyAlignment="1">
      <alignment horizontal="center" vertical="center"/>
    </xf>
    <xf numFmtId="0" fontId="27" fillId="5" borderId="5" xfId="0" applyFont="1" applyFill="1" applyBorder="1" applyAlignment="1">
      <alignment horizontal="center" vertical="center"/>
    </xf>
    <xf numFmtId="0" fontId="30" fillId="14" borderId="7" xfId="0" applyFont="1" applyFill="1" applyBorder="1" applyAlignment="1">
      <alignment horizontal="center"/>
    </xf>
    <xf numFmtId="0" fontId="26" fillId="14" borderId="0" xfId="0" applyFont="1" applyFill="1" applyAlignment="1">
      <alignment horizontal="right" vertical="center"/>
    </xf>
    <xf numFmtId="9" fontId="0" fillId="2" borderId="8" xfId="1" applyFont="1" applyFill="1" applyBorder="1" applyAlignment="1">
      <alignment horizontal="right" vertical="center"/>
    </xf>
    <xf numFmtId="0" fontId="29" fillId="15" borderId="0" xfId="0" applyFont="1" applyFill="1" applyAlignment="1">
      <alignment vertical="center"/>
    </xf>
    <xf numFmtId="0" fontId="31" fillId="16" borderId="0" xfId="0" applyFont="1" applyFill="1" applyAlignment="1">
      <alignment horizontal="right" vertical="center"/>
    </xf>
    <xf numFmtId="9" fontId="14" fillId="17" borderId="1" xfId="0" applyNumberFormat="1" applyFont="1" applyFill="1" applyBorder="1" applyAlignment="1">
      <alignment horizontal="center" vertical="center"/>
    </xf>
    <xf numFmtId="0" fontId="32" fillId="14" borderId="6" xfId="0" applyFont="1" applyFill="1" applyBorder="1" applyAlignment="1">
      <alignment vertical="center"/>
    </xf>
    <xf numFmtId="9" fontId="34" fillId="11" borderId="1" xfId="0" applyNumberFormat="1" applyFont="1" applyFill="1" applyBorder="1" applyAlignment="1">
      <alignment horizontal="left" vertical="top" wrapText="1"/>
    </xf>
    <xf numFmtId="1" fontId="23" fillId="15" borderId="2" xfId="1" applyNumberFormat="1" applyFont="1" applyFill="1" applyBorder="1" applyAlignment="1">
      <alignment horizontal="center" vertical="center"/>
    </xf>
    <xf numFmtId="0" fontId="31" fillId="0" borderId="0" xfId="0" applyFont="1" applyAlignment="1">
      <alignment vertical="center"/>
    </xf>
    <xf numFmtId="1" fontId="17" fillId="3" borderId="2" xfId="1" applyNumberFormat="1" applyFont="1" applyFill="1" applyBorder="1" applyAlignment="1">
      <alignment horizontal="center" vertical="center"/>
    </xf>
    <xf numFmtId="1" fontId="20" fillId="3" borderId="0" xfId="0" applyNumberFormat="1" applyFont="1" applyFill="1" applyAlignment="1">
      <alignment horizontal="center" vertical="center"/>
    </xf>
    <xf numFmtId="9" fontId="33" fillId="18" borderId="1" xfId="0" applyNumberFormat="1" applyFont="1" applyFill="1" applyBorder="1" applyAlignment="1">
      <alignment horizontal="center" vertical="center"/>
    </xf>
    <xf numFmtId="9" fontId="33" fillId="18" borderId="1" xfId="1" applyFont="1" applyFill="1" applyBorder="1" applyAlignment="1">
      <alignment horizontal="center" vertical="center"/>
    </xf>
    <xf numFmtId="9" fontId="14" fillId="10" borderId="1" xfId="0" applyNumberFormat="1" applyFont="1" applyFill="1" applyBorder="1" applyAlignment="1">
      <alignment horizontal="center" vertical="center"/>
    </xf>
    <xf numFmtId="17" fontId="23" fillId="11" borderId="0" xfId="0" applyNumberFormat="1" applyFont="1" applyFill="1" applyAlignment="1">
      <alignment horizontal="center" vertical="center"/>
    </xf>
    <xf numFmtId="17" fontId="23" fillId="0" borderId="0" xfId="0" applyNumberFormat="1" applyFont="1" applyAlignment="1">
      <alignment horizontal="left" vertical="center"/>
    </xf>
    <xf numFmtId="9" fontId="0" fillId="3" borderId="8" xfId="1" applyFont="1" applyFill="1" applyBorder="1" applyAlignment="1">
      <alignment horizontal="right" vertical="center"/>
    </xf>
    <xf numFmtId="165" fontId="13" fillId="2" borderId="2" xfId="1" applyNumberFormat="1" applyFont="1" applyFill="1" applyBorder="1" applyAlignment="1">
      <alignment horizontal="center" vertical="center"/>
    </xf>
    <xf numFmtId="0" fontId="16" fillId="21" borderId="0" xfId="0" applyFont="1" applyFill="1" applyAlignment="1">
      <alignment horizontal="center" vertical="center"/>
    </xf>
    <xf numFmtId="0" fontId="31" fillId="20" borderId="11" xfId="0" applyFont="1" applyFill="1" applyBorder="1" applyAlignment="1">
      <alignment horizontal="right" vertical="center"/>
    </xf>
    <xf numFmtId="164" fontId="14" fillId="17" borderId="1" xfId="0" applyNumberFormat="1" applyFont="1" applyFill="1" applyBorder="1" applyAlignment="1">
      <alignment horizontal="center" vertical="center"/>
    </xf>
    <xf numFmtId="164" fontId="22"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7" fillId="5" borderId="0" xfId="0" applyFont="1" applyFill="1" applyAlignment="1">
      <alignment horizontal="right" vertical="center"/>
    </xf>
    <xf numFmtId="164" fontId="14" fillId="0" borderId="1" xfId="0" applyNumberFormat="1" applyFont="1" applyBorder="1" applyAlignment="1">
      <alignment horizontal="center" vertical="center"/>
    </xf>
    <xf numFmtId="9" fontId="14"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6" fillId="0" borderId="0" xfId="0" applyFont="1" applyAlignment="1">
      <alignment horizontal="center" vertical="center"/>
    </xf>
    <xf numFmtId="1" fontId="35" fillId="0" borderId="2" xfId="1" applyNumberFormat="1" applyFont="1" applyFill="1" applyBorder="1" applyAlignment="1">
      <alignment horizontal="center" vertical="center"/>
    </xf>
    <xf numFmtId="9" fontId="12" fillId="2" borderId="2" xfId="1" applyFont="1" applyFill="1" applyBorder="1" applyAlignment="1">
      <alignment horizontal="center" vertical="center"/>
    </xf>
    <xf numFmtId="20" fontId="12" fillId="0" borderId="2" xfId="1" applyNumberFormat="1" applyFont="1" applyFill="1" applyBorder="1" applyAlignment="1">
      <alignment horizontal="center" vertical="center"/>
    </xf>
    <xf numFmtId="0" fontId="0" fillId="0" borderId="0" xfId="0" applyAlignment="1">
      <alignment horizontal="center"/>
    </xf>
    <xf numFmtId="164" fontId="34" fillId="0" borderId="0" xfId="1" applyNumberFormat="1" applyFont="1" applyAlignment="1">
      <alignment horizontal="center" vertical="center"/>
    </xf>
    <xf numFmtId="0" fontId="26" fillId="14" borderId="12" xfId="0" applyFont="1" applyFill="1" applyBorder="1" applyAlignment="1">
      <alignment horizontal="center" vertical="center"/>
    </xf>
    <xf numFmtId="164" fontId="38" fillId="0" borderId="13" xfId="0" applyNumberFormat="1" applyFont="1" applyBorder="1" applyAlignment="1">
      <alignment horizontal="center" vertical="center"/>
    </xf>
    <xf numFmtId="164" fontId="14" fillId="15" borderId="14" xfId="0" applyNumberFormat="1" applyFont="1" applyFill="1" applyBorder="1" applyAlignment="1">
      <alignment horizontal="center" vertical="center"/>
    </xf>
    <xf numFmtId="164" fontId="14" fillId="18" borderId="15" xfId="0" applyNumberFormat="1" applyFont="1" applyFill="1" applyBorder="1" applyAlignment="1">
      <alignment horizontal="center" vertical="center"/>
    </xf>
    <xf numFmtId="164" fontId="14" fillId="15" borderId="16" xfId="0" applyNumberFormat="1" applyFont="1" applyFill="1" applyBorder="1" applyAlignment="1">
      <alignment horizontal="center" vertical="center"/>
    </xf>
    <xf numFmtId="164" fontId="14" fillId="18" borderId="17" xfId="0" applyNumberFormat="1" applyFont="1" applyFill="1" applyBorder="1" applyAlignment="1">
      <alignment horizontal="center" vertical="center"/>
    </xf>
    <xf numFmtId="9" fontId="13" fillId="11" borderId="18" xfId="1" applyFont="1" applyFill="1" applyBorder="1" applyAlignment="1">
      <alignment horizontal="right" vertical="center"/>
    </xf>
    <xf numFmtId="164" fontId="34" fillId="11" borderId="2" xfId="1" applyNumberFormat="1" applyFont="1" applyFill="1" applyBorder="1" applyAlignment="1">
      <alignment horizontal="center" vertical="center"/>
    </xf>
    <xf numFmtId="0" fontId="34" fillId="0" borderId="0" xfId="0" applyFont="1" applyAlignment="1">
      <alignment horizontal="right"/>
    </xf>
    <xf numFmtId="164" fontId="34" fillId="11" borderId="0" xfId="1" applyNumberFormat="1" applyFont="1" applyFill="1" applyAlignment="1">
      <alignment horizontal="center" vertical="center"/>
    </xf>
    <xf numFmtId="9" fontId="39" fillId="23" borderId="1" xfId="0" applyNumberFormat="1" applyFont="1" applyFill="1" applyBorder="1" applyAlignment="1">
      <alignment horizontal="center" vertical="center"/>
    </xf>
    <xf numFmtId="1" fontId="17" fillId="0" borderId="0" xfId="1" applyNumberFormat="1" applyFont="1" applyFill="1" applyBorder="1" applyAlignment="1">
      <alignment horizontal="center" vertical="center"/>
    </xf>
    <xf numFmtId="1" fontId="17" fillId="0" borderId="0" xfId="0" applyNumberFormat="1" applyFont="1" applyAlignment="1">
      <alignment horizontal="center" vertical="center"/>
    </xf>
    <xf numFmtId="0" fontId="41" fillId="2" borderId="0" xfId="2" applyFont="1" applyFill="1" applyAlignment="1">
      <alignment horizontal="center" wrapText="1"/>
    </xf>
    <xf numFmtId="0" fontId="41" fillId="2" borderId="0" xfId="2" applyFont="1" applyFill="1" applyAlignment="1">
      <alignment wrapText="1"/>
    </xf>
    <xf numFmtId="0" fontId="42" fillId="25" borderId="21" xfId="2" applyFont="1" applyFill="1" applyBorder="1" applyAlignment="1">
      <alignment horizontal="center" vertical="center" wrapText="1"/>
    </xf>
    <xf numFmtId="0" fontId="43" fillId="25" borderId="0" xfId="2" applyFont="1" applyFill="1" applyAlignment="1">
      <alignment horizontal="center" vertical="center" wrapText="1"/>
    </xf>
    <xf numFmtId="49" fontId="44" fillId="3" borderId="24" xfId="1" applyNumberFormat="1" applyFont="1" applyFill="1" applyBorder="1" applyAlignment="1">
      <alignment horizontal="center" vertical="center" wrapText="1"/>
    </xf>
    <xf numFmtId="49" fontId="44" fillId="25" borderId="25" xfId="1" applyNumberFormat="1" applyFont="1" applyFill="1" applyBorder="1" applyAlignment="1">
      <alignment horizontal="center" vertical="center" wrapText="1"/>
    </xf>
    <xf numFmtId="164" fontId="34" fillId="0" borderId="28" xfId="2" applyNumberFormat="1" applyFont="1" applyBorder="1" applyAlignment="1">
      <alignment horizontal="center" vertical="center"/>
    </xf>
    <xf numFmtId="164" fontId="34" fillId="0" borderId="29" xfId="2" applyNumberFormat="1" applyFont="1" applyBorder="1" applyAlignment="1">
      <alignment horizontal="center" vertical="center"/>
    </xf>
    <xf numFmtId="164" fontId="40" fillId="25" borderId="29" xfId="2" applyNumberFormat="1" applyFill="1" applyBorder="1" applyAlignment="1">
      <alignment wrapText="1"/>
    </xf>
    <xf numFmtId="164" fontId="40" fillId="25" borderId="29" xfId="2" applyNumberFormat="1" applyFill="1" applyBorder="1" applyAlignment="1">
      <alignment horizontal="center" wrapText="1"/>
    </xf>
    <xf numFmtId="0" fontId="40" fillId="0" borderId="0" xfId="2" applyAlignment="1">
      <alignment horizontal="center" wrapText="1"/>
    </xf>
    <xf numFmtId="0" fontId="40" fillId="0" borderId="0" xfId="2" applyAlignment="1">
      <alignment wrapText="1"/>
    </xf>
    <xf numFmtId="0" fontId="41" fillId="2" borderId="0" xfId="2" applyFont="1" applyFill="1"/>
    <xf numFmtId="0" fontId="40" fillId="0" borderId="0" xfId="2"/>
    <xf numFmtId="0" fontId="41" fillId="2" borderId="0" xfId="2" applyFont="1" applyFill="1" applyAlignment="1">
      <alignment horizontal="center" vertical="center" wrapText="1"/>
    </xf>
    <xf numFmtId="0" fontId="40" fillId="0" borderId="0" xfId="2" applyAlignment="1">
      <alignment horizontal="center" vertical="center" wrapText="1"/>
    </xf>
    <xf numFmtId="0" fontId="34" fillId="2" borderId="0" xfId="2" applyFont="1" applyFill="1" applyAlignment="1">
      <alignment horizontal="center" wrapText="1"/>
    </xf>
    <xf numFmtId="164" fontId="40" fillId="0" borderId="28" xfId="2" applyNumberFormat="1" applyBorder="1" applyAlignment="1">
      <alignment horizontal="center" vertical="center" wrapText="1"/>
    </xf>
    <xf numFmtId="164" fontId="40" fillId="0" borderId="29" xfId="2" applyNumberFormat="1" applyBorder="1" applyAlignment="1">
      <alignment horizontal="center" vertical="center" wrapText="1"/>
    </xf>
    <xf numFmtId="164" fontId="40" fillId="0" borderId="30" xfId="2" applyNumberFormat="1" applyBorder="1" applyAlignment="1">
      <alignment horizontal="center" vertical="center" wrapText="1"/>
    </xf>
    <xf numFmtId="164" fontId="31" fillId="0" borderId="29" xfId="2" applyNumberFormat="1" applyFont="1" applyBorder="1" applyAlignment="1">
      <alignment horizontal="center" vertical="center" wrapText="1"/>
    </xf>
    <xf numFmtId="165" fontId="40"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6" fillId="26" borderId="0" xfId="0" applyFont="1" applyFill="1" applyAlignment="1">
      <alignment horizontal="center" vertical="center"/>
    </xf>
    <xf numFmtId="0" fontId="48" fillId="27" borderId="41" xfId="0" applyFont="1" applyFill="1" applyBorder="1" applyAlignment="1">
      <alignment vertical="center"/>
    </xf>
    <xf numFmtId="164" fontId="23" fillId="27" borderId="41" xfId="0" applyNumberFormat="1" applyFont="1" applyFill="1" applyBorder="1" applyAlignment="1">
      <alignment horizontal="center" vertical="center"/>
    </xf>
    <xf numFmtId="0" fontId="34" fillId="0" borderId="0" xfId="0" applyFont="1" applyAlignment="1">
      <alignment horizontal="center" vertical="center"/>
    </xf>
    <xf numFmtId="0" fontId="14" fillId="15" borderId="41" xfId="0" applyFont="1" applyFill="1" applyBorder="1" applyAlignment="1">
      <alignment horizontal="right" vertical="center"/>
    </xf>
    <xf numFmtId="164" fontId="14" fillId="15" borderId="41" xfId="1" applyNumberFormat="1" applyFont="1" applyFill="1" applyBorder="1" applyAlignment="1">
      <alignment horizontal="center" vertical="center"/>
    </xf>
    <xf numFmtId="9" fontId="34" fillId="31" borderId="41" xfId="0" applyNumberFormat="1" applyFont="1" applyFill="1" applyBorder="1" applyAlignment="1">
      <alignment horizontal="center" vertical="center"/>
    </xf>
    <xf numFmtId="164" fontId="14" fillId="3" borderId="41" xfId="0" applyNumberFormat="1" applyFont="1" applyFill="1" applyBorder="1" applyAlignment="1">
      <alignment horizontal="center"/>
    </xf>
    <xf numFmtId="0" fontId="37" fillId="14" borderId="41" xfId="0" applyFont="1" applyFill="1" applyBorder="1" applyAlignment="1">
      <alignment horizontal="right" vertical="center"/>
    </xf>
    <xf numFmtId="164" fontId="37" fillId="14" borderId="41" xfId="1" applyNumberFormat="1" applyFont="1" applyFill="1" applyBorder="1" applyAlignment="1">
      <alignment horizontal="center" vertical="center"/>
    </xf>
    <xf numFmtId="164" fontId="14" fillId="15" borderId="41" xfId="0" applyNumberFormat="1" applyFont="1" applyFill="1" applyBorder="1" applyAlignment="1">
      <alignment horizontal="center"/>
    </xf>
    <xf numFmtId="164" fontId="37"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4" fillId="31" borderId="41" xfId="0" applyFont="1" applyFill="1" applyBorder="1" applyAlignment="1">
      <alignment horizontal="right"/>
    </xf>
    <xf numFmtId="164" fontId="13"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4" fillId="32" borderId="41" xfId="0" applyNumberFormat="1" applyFont="1" applyFill="1" applyBorder="1" applyAlignment="1">
      <alignment horizontal="right"/>
    </xf>
    <xf numFmtId="9" fontId="0" fillId="10" borderId="41" xfId="1" applyFont="1" applyFill="1" applyBorder="1" applyAlignment="1">
      <alignment horizontal="center"/>
    </xf>
    <xf numFmtId="164" fontId="34" fillId="0" borderId="41" xfId="0" applyNumberFormat="1" applyFont="1" applyBorder="1" applyAlignment="1">
      <alignment horizontal="center" vertical="center"/>
    </xf>
    <xf numFmtId="9" fontId="46" fillId="26" borderId="2" xfId="1" applyFont="1" applyFill="1" applyBorder="1" applyAlignment="1">
      <alignment horizontal="center" vertical="center"/>
    </xf>
    <xf numFmtId="164" fontId="46" fillId="26" borderId="2" xfId="1" applyNumberFormat="1" applyFont="1" applyFill="1" applyBorder="1" applyAlignment="1">
      <alignment horizontal="center" vertical="center"/>
    </xf>
    <xf numFmtId="0" fontId="49" fillId="26" borderId="0" xfId="0" applyFont="1" applyFill="1"/>
    <xf numFmtId="0" fontId="0" fillId="0" borderId="41" xfId="0" applyBorder="1"/>
    <xf numFmtId="9" fontId="34" fillId="0" borderId="41" xfId="0" applyNumberFormat="1" applyFont="1" applyBorder="1" applyAlignment="1">
      <alignment horizontal="center" vertical="center"/>
    </xf>
    <xf numFmtId="0" fontId="14" fillId="0" borderId="0" xfId="0" applyFont="1"/>
    <xf numFmtId="0" fontId="14" fillId="29" borderId="41" xfId="0" applyFont="1" applyFill="1" applyBorder="1"/>
    <xf numFmtId="164" fontId="14" fillId="29" borderId="41" xfId="0" applyNumberFormat="1" applyFont="1" applyFill="1" applyBorder="1" applyAlignment="1">
      <alignment horizontal="center"/>
    </xf>
    <xf numFmtId="0" fontId="43"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2" fillId="25" borderId="42" xfId="2" applyFont="1" applyFill="1" applyBorder="1" applyAlignment="1">
      <alignment horizontal="center" vertical="center" wrapText="1"/>
    </xf>
    <xf numFmtId="0" fontId="32" fillId="25" borderId="50" xfId="2" applyFont="1" applyFill="1" applyBorder="1" applyAlignment="1">
      <alignment horizontal="center" vertical="center" wrapText="1"/>
    </xf>
    <xf numFmtId="49" fontId="31" fillId="36" borderId="47" xfId="1" applyNumberFormat="1" applyFont="1" applyFill="1" applyBorder="1" applyAlignment="1">
      <alignment horizontal="center" vertical="center" wrapText="1"/>
    </xf>
    <xf numFmtId="49" fontId="44" fillId="36" borderId="24" xfId="1" applyNumberFormat="1" applyFont="1" applyFill="1" applyBorder="1" applyAlignment="1">
      <alignment horizontal="center" vertical="center" wrapText="1"/>
    </xf>
    <xf numFmtId="49" fontId="31" fillId="37" borderId="54" xfId="1" applyNumberFormat="1" applyFont="1" applyFill="1" applyBorder="1" applyAlignment="1">
      <alignment horizontal="center" vertical="center" wrapText="1"/>
    </xf>
    <xf numFmtId="49" fontId="44" fillId="37" borderId="47" xfId="1" applyNumberFormat="1" applyFont="1" applyFill="1" applyBorder="1" applyAlignment="1">
      <alignment horizontal="center" vertical="center" wrapText="1"/>
    </xf>
    <xf numFmtId="49" fontId="44" fillId="37" borderId="24" xfId="1" applyNumberFormat="1" applyFont="1" applyFill="1" applyBorder="1" applyAlignment="1">
      <alignment horizontal="center" vertical="center" wrapText="1"/>
    </xf>
    <xf numFmtId="49" fontId="44" fillId="37" borderId="26" xfId="1" applyNumberFormat="1" applyFont="1" applyFill="1" applyBorder="1" applyAlignment="1">
      <alignment horizontal="center" vertical="center" wrapText="1"/>
    </xf>
    <xf numFmtId="49" fontId="31" fillId="38" borderId="46" xfId="1" applyNumberFormat="1" applyFont="1" applyFill="1" applyBorder="1" applyAlignment="1">
      <alignment horizontal="center" vertical="center" wrapText="1"/>
    </xf>
    <xf numFmtId="49" fontId="44" fillId="38" borderId="24" xfId="1" applyNumberFormat="1" applyFont="1" applyFill="1" applyBorder="1" applyAlignment="1">
      <alignment horizontal="center" vertical="center" wrapText="1"/>
    </xf>
    <xf numFmtId="49" fontId="44" fillId="38" borderId="26" xfId="1" applyNumberFormat="1" applyFont="1" applyFill="1" applyBorder="1" applyAlignment="1">
      <alignment horizontal="center" vertical="center" wrapText="1"/>
    </xf>
    <xf numFmtId="49" fontId="31" fillId="24" borderId="54" xfId="1" applyNumberFormat="1" applyFont="1" applyFill="1" applyBorder="1" applyAlignment="1">
      <alignment horizontal="center" vertical="center" wrapText="1"/>
    </xf>
    <xf numFmtId="49" fontId="44" fillId="3" borderId="47" xfId="1" applyNumberFormat="1" applyFont="1" applyFill="1" applyBorder="1" applyAlignment="1">
      <alignment horizontal="center" vertical="center" wrapText="1"/>
    </xf>
    <xf numFmtId="49" fontId="31" fillId="39" borderId="54" xfId="1" applyNumberFormat="1" applyFont="1" applyFill="1" applyBorder="1" applyAlignment="1">
      <alignment horizontal="center" vertical="center" wrapText="1"/>
    </xf>
    <xf numFmtId="49" fontId="44" fillId="39" borderId="47" xfId="1" applyNumberFormat="1" applyFont="1" applyFill="1" applyBorder="1" applyAlignment="1">
      <alignment horizontal="center" vertical="center" wrapText="1"/>
    </xf>
    <xf numFmtId="49" fontId="44" fillId="39" borderId="24" xfId="1" applyNumberFormat="1" applyFont="1" applyFill="1" applyBorder="1" applyAlignment="1">
      <alignment horizontal="center" vertical="center" wrapText="1"/>
    </xf>
    <xf numFmtId="49" fontId="44" fillId="39" borderId="25" xfId="1" applyNumberFormat="1" applyFont="1" applyFill="1" applyBorder="1" applyAlignment="1">
      <alignment horizontal="center" vertical="center" wrapText="1"/>
    </xf>
    <xf numFmtId="9" fontId="50" fillId="35" borderId="25" xfId="1" applyFont="1" applyFill="1" applyBorder="1" applyAlignment="1">
      <alignment horizontal="center" vertical="center" wrapText="1"/>
    </xf>
    <xf numFmtId="9" fontId="34" fillId="25" borderId="55" xfId="1" applyFont="1" applyFill="1" applyBorder="1" applyAlignment="1">
      <alignment horizontal="center" vertical="center" wrapText="1"/>
    </xf>
    <xf numFmtId="49" fontId="37" fillId="25" borderId="56" xfId="1" applyNumberFormat="1" applyFont="1" applyFill="1" applyBorder="1" applyAlignment="1">
      <alignment horizontal="center" vertical="center" wrapText="1"/>
    </xf>
    <xf numFmtId="49" fontId="41" fillId="25" borderId="57" xfId="1" applyNumberFormat="1" applyFont="1" applyFill="1" applyBorder="1" applyAlignment="1">
      <alignment horizontal="center" vertical="center" wrapText="1"/>
    </xf>
    <xf numFmtId="164" fontId="29" fillId="29" borderId="58" xfId="2" applyNumberFormat="1" applyFont="1" applyFill="1" applyBorder="1" applyAlignment="1">
      <alignment horizontal="center" vertical="center"/>
    </xf>
    <xf numFmtId="164" fontId="23" fillId="0" borderId="27" xfId="1" applyNumberFormat="1" applyFont="1" applyFill="1" applyBorder="1" applyAlignment="1">
      <alignment horizontal="center" vertical="center"/>
    </xf>
    <xf numFmtId="164" fontId="14" fillId="36" borderId="59" xfId="2" applyNumberFormat="1" applyFont="1" applyFill="1" applyBorder="1" applyAlignment="1">
      <alignment horizontal="center" vertical="center"/>
    </xf>
    <xf numFmtId="164" fontId="31" fillId="37" borderId="27" xfId="2" applyNumberFormat="1" applyFont="1" applyFill="1" applyBorder="1" applyAlignment="1">
      <alignment horizontal="center" vertical="center" wrapText="1"/>
    </xf>
    <xf numFmtId="164" fontId="40" fillId="0" borderId="60" xfId="2" applyNumberFormat="1" applyBorder="1" applyAlignment="1">
      <alignment horizontal="center" vertical="center" wrapText="1"/>
    </xf>
    <xf numFmtId="164" fontId="31" fillId="38" borderId="27" xfId="2" applyNumberFormat="1" applyFont="1" applyFill="1" applyBorder="1" applyAlignment="1">
      <alignment horizontal="center" vertical="center" wrapText="1"/>
    </xf>
    <xf numFmtId="164" fontId="31" fillId="24" borderId="27" xfId="2" applyNumberFormat="1" applyFont="1" applyFill="1" applyBorder="1" applyAlignment="1">
      <alignment horizontal="center" vertical="center" wrapText="1"/>
    </xf>
    <xf numFmtId="164" fontId="40" fillId="0" borderId="61" xfId="2" applyNumberFormat="1" applyBorder="1" applyAlignment="1">
      <alignment horizontal="center" vertical="center" wrapText="1"/>
    </xf>
    <xf numFmtId="164" fontId="31" fillId="39" borderId="27" xfId="2" applyNumberFormat="1" applyFont="1" applyFill="1" applyBorder="1" applyAlignment="1">
      <alignment horizontal="center" vertical="center" wrapText="1"/>
    </xf>
    <xf numFmtId="164" fontId="23" fillId="3" borderId="27" xfId="1" applyNumberFormat="1" applyFont="1" applyFill="1" applyBorder="1" applyAlignment="1">
      <alignment horizontal="center" vertical="center"/>
    </xf>
    <xf numFmtId="164" fontId="34" fillId="3" borderId="28" xfId="2" applyNumberFormat="1" applyFont="1" applyFill="1" applyBorder="1" applyAlignment="1">
      <alignment horizontal="center" vertical="center"/>
    </xf>
    <xf numFmtId="164" fontId="34" fillId="3" borderId="29" xfId="2" applyNumberFormat="1" applyFont="1" applyFill="1" applyBorder="1" applyAlignment="1">
      <alignment horizontal="center" vertical="center"/>
    </xf>
    <xf numFmtId="164" fontId="40" fillId="3" borderId="28" xfId="2" applyNumberFormat="1" applyFill="1" applyBorder="1" applyAlignment="1">
      <alignment horizontal="center" vertical="center" wrapText="1"/>
    </xf>
    <xf numFmtId="164" fontId="40" fillId="3" borderId="30" xfId="2" applyNumberFormat="1" applyFill="1" applyBorder="1" applyAlignment="1">
      <alignment horizontal="center" vertical="center" wrapText="1"/>
    </xf>
    <xf numFmtId="164" fontId="40" fillId="3" borderId="29" xfId="2" applyNumberFormat="1" applyFill="1" applyBorder="1" applyAlignment="1">
      <alignment horizontal="center" vertical="center" wrapText="1"/>
    </xf>
    <xf numFmtId="164" fontId="40" fillId="3" borderId="60" xfId="2" applyNumberFormat="1" applyFill="1" applyBorder="1" applyAlignment="1">
      <alignment horizontal="center" vertical="center" wrapText="1"/>
    </xf>
    <xf numFmtId="164" fontId="40" fillId="3" borderId="61" xfId="2" applyNumberFormat="1" applyFill="1" applyBorder="1" applyAlignment="1">
      <alignment horizontal="center" vertical="center" wrapText="1"/>
    </xf>
    <xf numFmtId="164" fontId="31" fillId="3" borderId="29" xfId="2" applyNumberFormat="1" applyFont="1" applyFill="1" applyBorder="1" applyAlignment="1">
      <alignment horizontal="center" vertical="center" wrapText="1"/>
    </xf>
    <xf numFmtId="165" fontId="40" fillId="3" borderId="29" xfId="2" applyNumberFormat="1" applyFill="1" applyBorder="1" applyAlignment="1">
      <alignment horizontal="center" vertical="center" wrapText="1"/>
    </xf>
    <xf numFmtId="164" fontId="29" fillId="29" borderId="23" xfId="2" applyNumberFormat="1" applyFont="1" applyFill="1" applyBorder="1" applyAlignment="1">
      <alignment horizontal="center" vertical="center"/>
    </xf>
    <xf numFmtId="164" fontId="14" fillId="36" borderId="62" xfId="2" applyNumberFormat="1" applyFont="1" applyFill="1" applyBorder="1" applyAlignment="1">
      <alignment horizontal="center" vertical="center"/>
    </xf>
    <xf numFmtId="164" fontId="34" fillId="3" borderId="9" xfId="2" applyNumberFormat="1" applyFont="1" applyFill="1" applyBorder="1" applyAlignment="1">
      <alignment horizontal="center" vertical="center"/>
    </xf>
    <xf numFmtId="164" fontId="34" fillId="3" borderId="63" xfId="2" applyNumberFormat="1" applyFont="1" applyFill="1" applyBorder="1" applyAlignment="1">
      <alignment horizontal="center" vertical="center"/>
    </xf>
    <xf numFmtId="164" fontId="40" fillId="3" borderId="9" xfId="2" applyNumberFormat="1" applyFill="1" applyBorder="1" applyAlignment="1">
      <alignment horizontal="center" vertical="center" wrapText="1"/>
    </xf>
    <xf numFmtId="164" fontId="40" fillId="3" borderId="1" xfId="2" applyNumberFormat="1" applyFill="1" applyBorder="1" applyAlignment="1">
      <alignment horizontal="center" vertical="center" wrapText="1"/>
    </xf>
    <xf numFmtId="0" fontId="51" fillId="0" borderId="40" xfId="0" applyFont="1" applyBorder="1" applyAlignment="1">
      <alignment horizontal="left" vertical="center"/>
    </xf>
    <xf numFmtId="164" fontId="29" fillId="29" borderId="40" xfId="2" applyNumberFormat="1" applyFont="1" applyFill="1" applyBorder="1" applyAlignment="1">
      <alignment horizontal="center" vertical="center"/>
    </xf>
    <xf numFmtId="164" fontId="51" fillId="27" borderId="64" xfId="2" applyNumberFormat="1" applyFont="1" applyFill="1" applyBorder="1" applyAlignment="1">
      <alignment horizontal="center" vertical="center" wrapText="1"/>
    </xf>
    <xf numFmtId="164" fontId="51" fillId="36" borderId="54" xfId="2" applyNumberFormat="1" applyFont="1" applyFill="1" applyBorder="1" applyAlignment="1">
      <alignment horizontal="center" vertical="center" wrapText="1"/>
    </xf>
    <xf numFmtId="164" fontId="51" fillId="29" borderId="65" xfId="2" applyNumberFormat="1" applyFont="1" applyFill="1" applyBorder="1" applyAlignment="1">
      <alignment horizontal="center" vertical="center" wrapText="1"/>
    </xf>
    <xf numFmtId="164" fontId="51" fillId="29" borderId="66" xfId="2" applyNumberFormat="1" applyFont="1" applyFill="1" applyBorder="1" applyAlignment="1">
      <alignment horizontal="center" vertical="center" wrapText="1"/>
    </xf>
    <xf numFmtId="164" fontId="51" fillId="29" borderId="67" xfId="2" applyNumberFormat="1" applyFont="1" applyFill="1" applyBorder="1" applyAlignment="1">
      <alignment horizontal="center" vertical="center" wrapText="1"/>
    </xf>
    <xf numFmtId="164" fontId="51" fillId="37" borderId="68" xfId="2" applyNumberFormat="1" applyFont="1" applyFill="1" applyBorder="1" applyAlignment="1">
      <alignment horizontal="center" vertical="center" wrapText="1"/>
    </xf>
    <xf numFmtId="164" fontId="51" fillId="29" borderId="69" xfId="2" applyNumberFormat="1" applyFont="1" applyFill="1" applyBorder="1" applyAlignment="1">
      <alignment horizontal="center" vertical="center" wrapText="1"/>
    </xf>
    <xf numFmtId="164" fontId="51" fillId="29" borderId="70" xfId="2" applyNumberFormat="1" applyFont="1" applyFill="1" applyBorder="1" applyAlignment="1">
      <alignment horizontal="center" vertical="center" wrapText="1"/>
    </xf>
    <xf numFmtId="164" fontId="51" fillId="29" borderId="71" xfId="2" applyNumberFormat="1" applyFont="1" applyFill="1" applyBorder="1" applyAlignment="1">
      <alignment horizontal="center" vertical="center" wrapText="1"/>
    </xf>
    <xf numFmtId="164" fontId="51" fillId="38" borderId="72" xfId="2" applyNumberFormat="1" applyFont="1" applyFill="1" applyBorder="1" applyAlignment="1">
      <alignment horizontal="center" vertical="center" wrapText="1"/>
    </xf>
    <xf numFmtId="164" fontId="51" fillId="24" borderId="68" xfId="2" applyNumberFormat="1" applyFont="1" applyFill="1" applyBorder="1" applyAlignment="1">
      <alignment horizontal="center" vertical="center" wrapText="1"/>
    </xf>
    <xf numFmtId="164" fontId="51" fillId="29" borderId="31" xfId="2" applyNumberFormat="1" applyFont="1" applyFill="1" applyBorder="1" applyAlignment="1">
      <alignment horizontal="center" vertical="center" wrapText="1"/>
    </xf>
    <xf numFmtId="164" fontId="51" fillId="29" borderId="32" xfId="2" applyNumberFormat="1" applyFont="1" applyFill="1" applyBorder="1" applyAlignment="1">
      <alignment horizontal="center" vertical="center" wrapText="1"/>
    </xf>
    <xf numFmtId="164" fontId="51" fillId="29" borderId="33" xfId="2" applyNumberFormat="1" applyFont="1" applyFill="1" applyBorder="1" applyAlignment="1">
      <alignment horizontal="center" vertical="center" wrapText="1"/>
    </xf>
    <xf numFmtId="164" fontId="51" fillId="39" borderId="68" xfId="2" applyNumberFormat="1" applyFont="1" applyFill="1" applyBorder="1" applyAlignment="1">
      <alignment horizontal="center" vertical="center" wrapText="1"/>
    </xf>
    <xf numFmtId="164" fontId="51" fillId="25" borderId="32" xfId="2" applyNumberFormat="1" applyFont="1" applyFill="1" applyBorder="1" applyAlignment="1">
      <alignment horizontal="center" vertical="center" wrapText="1"/>
    </xf>
    <xf numFmtId="165" fontId="51" fillId="29" borderId="32" xfId="2" applyNumberFormat="1" applyFont="1" applyFill="1" applyBorder="1" applyAlignment="1">
      <alignment horizontal="center" vertical="center" wrapText="1"/>
    </xf>
    <xf numFmtId="0" fontId="52" fillId="0" borderId="0" xfId="0" applyFont="1"/>
    <xf numFmtId="0" fontId="32" fillId="34" borderId="6" xfId="0" applyFont="1" applyFill="1" applyBorder="1" applyAlignment="1">
      <alignment vertical="center"/>
    </xf>
    <xf numFmtId="0" fontId="30" fillId="34" borderId="7" xfId="0" applyFont="1" applyFill="1" applyBorder="1" applyAlignment="1">
      <alignment horizontal="center"/>
    </xf>
    <xf numFmtId="0" fontId="53" fillId="34" borderId="0" xfId="0" applyFont="1" applyFill="1" applyAlignment="1">
      <alignment horizontal="center" vertical="center"/>
    </xf>
    <xf numFmtId="164" fontId="26" fillId="34" borderId="73" xfId="1" applyNumberFormat="1" applyFont="1" applyFill="1" applyBorder="1" applyAlignment="1">
      <alignment horizontal="center" vertical="center"/>
    </xf>
    <xf numFmtId="0" fontId="54" fillId="15" borderId="0" xfId="0" applyFont="1" applyFill="1" applyAlignment="1">
      <alignment vertical="center"/>
    </xf>
    <xf numFmtId="17" fontId="55"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2" fillId="26" borderId="19" xfId="0" applyNumberFormat="1" applyFont="1" applyFill="1" applyBorder="1" applyAlignment="1">
      <alignment horizontal="right" vertical="center"/>
    </xf>
    <xf numFmtId="164" fontId="56" fillId="26" borderId="20" xfId="0" applyNumberFormat="1" applyFont="1" applyFill="1" applyBorder="1" applyAlignment="1">
      <alignment horizontal="center" vertical="center"/>
    </xf>
    <xf numFmtId="17" fontId="42" fillId="0" borderId="20" xfId="0" applyNumberFormat="1" applyFont="1" applyBorder="1" applyAlignment="1">
      <alignment horizontal="center" vertical="center"/>
    </xf>
    <xf numFmtId="164" fontId="56" fillId="26" borderId="32" xfId="0" applyNumberFormat="1" applyFont="1" applyFill="1" applyBorder="1" applyAlignment="1">
      <alignment horizontal="center" vertical="center"/>
    </xf>
    <xf numFmtId="20" fontId="57" fillId="0" borderId="32" xfId="0" applyNumberFormat="1" applyFont="1" applyBorder="1" applyAlignment="1">
      <alignment horizontal="center"/>
    </xf>
    <xf numFmtId="20" fontId="57" fillId="0" borderId="34" xfId="0" applyNumberFormat="1" applyFont="1" applyBorder="1" applyAlignment="1">
      <alignment horizontal="center"/>
    </xf>
    <xf numFmtId="0" fontId="22" fillId="14" borderId="0" xfId="0" applyFont="1" applyFill="1" applyAlignment="1">
      <alignment horizontal="right" vertical="center"/>
    </xf>
    <xf numFmtId="164" fontId="29" fillId="0" borderId="0" xfId="0" applyNumberFormat="1" applyFont="1" applyAlignment="1">
      <alignment horizontal="center"/>
    </xf>
    <xf numFmtId="164" fontId="22" fillId="8" borderId="29" xfId="0" applyNumberFormat="1" applyFont="1" applyFill="1" applyBorder="1" applyAlignment="1">
      <alignment horizontal="center" vertical="center"/>
    </xf>
    <xf numFmtId="9" fontId="58" fillId="11" borderId="18" xfId="1" applyFont="1" applyFill="1" applyBorder="1" applyAlignment="1">
      <alignment horizontal="right" vertical="center"/>
    </xf>
    <xf numFmtId="164" fontId="58" fillId="11" borderId="2" xfId="1" applyNumberFormat="1" applyFont="1" applyFill="1" applyBorder="1" applyAlignment="1">
      <alignment horizontal="center" vertical="center"/>
    </xf>
    <xf numFmtId="9" fontId="58" fillId="0" borderId="0" xfId="1" applyFont="1" applyAlignment="1">
      <alignment horizontal="center"/>
    </xf>
    <xf numFmtId="164" fontId="58" fillId="11" borderId="41" xfId="1" applyNumberFormat="1" applyFont="1" applyFill="1" applyBorder="1" applyAlignment="1">
      <alignment horizontal="center" vertical="center"/>
    </xf>
    <xf numFmtId="164" fontId="14" fillId="3" borderId="41" xfId="0" applyNumberFormat="1" applyFont="1" applyFill="1" applyBorder="1" applyAlignment="1">
      <alignment horizontal="center" vertical="center"/>
    </xf>
    <xf numFmtId="1" fontId="17" fillId="21" borderId="18" xfId="1" applyNumberFormat="1" applyFont="1" applyFill="1" applyBorder="1" applyAlignment="1">
      <alignment horizontal="center" vertical="center"/>
    </xf>
    <xf numFmtId="9" fontId="12" fillId="2" borderId="41" xfId="1" applyFont="1" applyFill="1" applyBorder="1" applyAlignment="1">
      <alignment horizontal="center" vertical="center"/>
    </xf>
    <xf numFmtId="9" fontId="12" fillId="3" borderId="41" xfId="1" applyFont="1" applyFill="1" applyBorder="1" applyAlignment="1">
      <alignment horizontal="center" vertical="center"/>
    </xf>
    <xf numFmtId="1" fontId="20" fillId="0" borderId="41" xfId="0" applyNumberFormat="1" applyFont="1" applyBorder="1" applyAlignment="1">
      <alignment horizontal="center"/>
    </xf>
    <xf numFmtId="164" fontId="22" fillId="8" borderId="41" xfId="0" applyNumberFormat="1" applyFont="1" applyFill="1" applyBorder="1" applyAlignment="1">
      <alignment horizontal="center" vertical="center"/>
    </xf>
    <xf numFmtId="0" fontId="22" fillId="5" borderId="0" xfId="0" applyFont="1" applyFill="1" applyAlignment="1">
      <alignment horizontal="right" vertical="center"/>
    </xf>
    <xf numFmtId="9" fontId="59" fillId="3" borderId="1" xfId="0" applyNumberFormat="1" applyFont="1" applyFill="1" applyBorder="1" applyAlignment="1">
      <alignment horizontal="center" vertical="center"/>
    </xf>
    <xf numFmtId="9" fontId="29" fillId="22" borderId="41" xfId="0" applyNumberFormat="1" applyFont="1" applyFill="1" applyBorder="1" applyAlignment="1">
      <alignment horizontal="center" vertical="center"/>
    </xf>
    <xf numFmtId="0" fontId="48" fillId="0" borderId="0" xfId="0" applyFont="1"/>
    <xf numFmtId="0" fontId="48" fillId="0" borderId="0" xfId="0" applyFont="1" applyAlignment="1">
      <alignment horizontal="left" vertical="top"/>
    </xf>
    <xf numFmtId="9" fontId="17" fillId="21" borderId="18" xfId="1" applyFont="1" applyFill="1" applyBorder="1" applyAlignment="1">
      <alignment horizontal="center" vertical="center"/>
    </xf>
    <xf numFmtId="0" fontId="43" fillId="20" borderId="10" xfId="0" applyFont="1" applyFill="1" applyBorder="1" applyAlignment="1">
      <alignment horizontal="right" vertical="center"/>
    </xf>
    <xf numFmtId="9" fontId="14" fillId="10" borderId="41" xfId="0" applyNumberFormat="1" applyFont="1" applyFill="1" applyBorder="1" applyAlignment="1">
      <alignment horizontal="center" vertical="center"/>
    </xf>
    <xf numFmtId="1" fontId="17" fillId="2" borderId="18" xfId="1" applyNumberFormat="1" applyFont="1" applyFill="1" applyBorder="1" applyAlignment="1">
      <alignment horizontal="center" vertical="center"/>
    </xf>
    <xf numFmtId="1" fontId="17" fillId="0" borderId="18" xfId="1" applyNumberFormat="1" applyFont="1" applyFill="1" applyBorder="1" applyAlignment="1">
      <alignment horizontal="center" vertical="center"/>
    </xf>
    <xf numFmtId="20" fontId="12" fillId="0" borderId="41" xfId="1" applyNumberFormat="1" applyFont="1" applyFill="1" applyBorder="1" applyAlignment="1">
      <alignment horizontal="center" vertical="center"/>
    </xf>
    <xf numFmtId="165" fontId="12" fillId="3" borderId="41" xfId="1" applyNumberFormat="1" applyFont="1" applyFill="1" applyBorder="1" applyAlignment="1">
      <alignment horizontal="center" vertical="center"/>
    </xf>
    <xf numFmtId="9" fontId="12" fillId="0" borderId="41" xfId="1" applyFont="1" applyFill="1" applyBorder="1" applyAlignment="1">
      <alignment horizontal="center" vertical="center"/>
    </xf>
    <xf numFmtId="1" fontId="35" fillId="0" borderId="75" xfId="1" applyNumberFormat="1" applyFont="1" applyFill="1" applyBorder="1" applyAlignment="1">
      <alignment horizontal="center" vertical="center"/>
    </xf>
    <xf numFmtId="0" fontId="22" fillId="26" borderId="76" xfId="0" applyFont="1" applyFill="1" applyBorder="1" applyAlignment="1">
      <alignment vertical="center"/>
    </xf>
    <xf numFmtId="0" fontId="30" fillId="26" borderId="77" xfId="0" applyFont="1" applyFill="1" applyBorder="1" applyAlignment="1">
      <alignment horizontal="center"/>
    </xf>
    <xf numFmtId="164" fontId="26" fillId="26" borderId="78" xfId="1" applyNumberFormat="1" applyFont="1" applyFill="1" applyBorder="1" applyAlignment="1">
      <alignment horizontal="center" vertical="center"/>
    </xf>
    <xf numFmtId="164" fontId="26" fillId="26" borderId="41" xfId="0" applyNumberFormat="1" applyFont="1" applyFill="1" applyBorder="1" applyAlignment="1">
      <alignment horizontal="center" vertical="center"/>
    </xf>
    <xf numFmtId="0" fontId="16" fillId="0" borderId="41" xfId="0" applyFont="1" applyBorder="1" applyAlignment="1">
      <alignment horizontal="center" vertical="center"/>
    </xf>
    <xf numFmtId="17" fontId="23" fillId="0" borderId="41" xfId="0" applyNumberFormat="1" applyFont="1" applyBorder="1" applyAlignment="1">
      <alignment horizontal="left" vertical="center"/>
    </xf>
    <xf numFmtId="17" fontId="23" fillId="0" borderId="41" xfId="0" applyNumberFormat="1" applyFont="1" applyBorder="1" applyAlignment="1">
      <alignment horizontal="center" vertical="center"/>
    </xf>
    <xf numFmtId="17" fontId="15" fillId="0" borderId="41" xfId="0" applyNumberFormat="1" applyFont="1" applyBorder="1" applyAlignment="1">
      <alignment horizontal="center" vertical="center"/>
    </xf>
    <xf numFmtId="164" fontId="23" fillId="0" borderId="41" xfId="0" applyNumberFormat="1" applyFont="1" applyBorder="1" applyAlignment="1">
      <alignment horizontal="center" vertical="center"/>
    </xf>
    <xf numFmtId="0" fontId="34" fillId="0" borderId="41" xfId="0" applyFont="1" applyBorder="1" applyAlignment="1">
      <alignment horizontal="center" vertical="center"/>
    </xf>
    <xf numFmtId="164" fontId="13" fillId="0" borderId="41" xfId="1" applyNumberFormat="1" applyFont="1" applyFill="1" applyBorder="1" applyAlignment="1">
      <alignment horizontal="center" vertical="center"/>
    </xf>
    <xf numFmtId="9" fontId="13" fillId="0" borderId="41" xfId="1" applyFont="1" applyFill="1" applyBorder="1" applyAlignment="1">
      <alignment horizontal="right" vertical="center"/>
    </xf>
    <xf numFmtId="9" fontId="13" fillId="0" borderId="41" xfId="1" applyFont="1" applyFill="1" applyBorder="1" applyAlignment="1">
      <alignment horizontal="center"/>
    </xf>
    <xf numFmtId="0" fontId="14" fillId="0" borderId="41" xfId="0" applyFont="1" applyBorder="1" applyAlignment="1">
      <alignment horizontal="right"/>
    </xf>
    <xf numFmtId="0" fontId="18" fillId="0" borderId="41" xfId="0" applyFont="1" applyBorder="1" applyAlignment="1">
      <alignment horizontal="center" vertical="center"/>
    </xf>
    <xf numFmtId="164" fontId="23"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3" fillId="0" borderId="41" xfId="0" applyFont="1" applyBorder="1"/>
    <xf numFmtId="0" fontId="14" fillId="0" borderId="41" xfId="0" applyFont="1" applyBorder="1" applyAlignment="1">
      <alignment horizontal="center"/>
    </xf>
    <xf numFmtId="9" fontId="14" fillId="0" borderId="41" xfId="0" applyNumberFormat="1" applyFont="1" applyBorder="1" applyAlignment="1">
      <alignment horizontal="center"/>
    </xf>
    <xf numFmtId="0" fontId="44" fillId="32" borderId="41" xfId="0" applyFont="1" applyFill="1" applyBorder="1" applyAlignment="1">
      <alignment horizontal="right"/>
    </xf>
    <xf numFmtId="17" fontId="44" fillId="32" borderId="41" xfId="0" applyNumberFormat="1" applyFont="1" applyFill="1" applyBorder="1" applyAlignment="1">
      <alignment horizontal="right"/>
    </xf>
    <xf numFmtId="164" fontId="37" fillId="26" borderId="2" xfId="1" applyNumberFormat="1" applyFont="1" applyFill="1" applyBorder="1" applyAlignment="1">
      <alignment horizontal="center" vertical="center"/>
    </xf>
    <xf numFmtId="0" fontId="14" fillId="11" borderId="41" xfId="0" applyFont="1" applyFill="1" applyBorder="1"/>
    <xf numFmtId="164" fontId="14" fillId="31" borderId="41" xfId="0" applyNumberFormat="1" applyFont="1" applyFill="1" applyBorder="1" applyAlignment="1">
      <alignment horizontal="center"/>
    </xf>
    <xf numFmtId="164" fontId="51" fillId="25" borderId="33" xfId="2" applyNumberFormat="1" applyFont="1" applyFill="1" applyBorder="1" applyAlignment="1">
      <alignment horizontal="center" vertical="center" wrapText="1"/>
    </xf>
    <xf numFmtId="164" fontId="31" fillId="3" borderId="63" xfId="2" applyNumberFormat="1" applyFont="1" applyFill="1" applyBorder="1" applyAlignment="1">
      <alignment horizontal="center" vertical="center" wrapText="1"/>
    </xf>
    <xf numFmtId="165" fontId="40" fillId="3" borderId="63" xfId="2" applyNumberFormat="1" applyFill="1" applyBorder="1" applyAlignment="1">
      <alignment horizontal="center" vertical="center" wrapText="1"/>
    </xf>
    <xf numFmtId="164" fontId="40" fillId="3" borderId="63" xfId="2" applyNumberFormat="1" applyFill="1" applyBorder="1" applyAlignment="1">
      <alignment horizontal="center" vertical="center" wrapText="1"/>
    </xf>
    <xf numFmtId="164" fontId="51"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1" fillId="25" borderId="90" xfId="1" applyNumberFormat="1" applyFont="1" applyFill="1" applyBorder="1" applyAlignment="1">
      <alignment horizontal="center" vertical="center" wrapText="1"/>
    </xf>
    <xf numFmtId="164" fontId="14" fillId="0" borderId="41" xfId="0" applyNumberFormat="1" applyFont="1" applyBorder="1"/>
    <xf numFmtId="0" fontId="12" fillId="0" borderId="41" xfId="0" applyFont="1" applyBorder="1" applyAlignment="1">
      <alignment horizontal="center" vertical="center"/>
    </xf>
    <xf numFmtId="17" fontId="12" fillId="0" borderId="41" xfId="0" applyNumberFormat="1" applyFont="1" applyBorder="1" applyAlignment="1">
      <alignment horizontal="center" vertical="center"/>
    </xf>
    <xf numFmtId="20" fontId="12" fillId="3" borderId="41" xfId="1" applyNumberFormat="1" applyFont="1" applyFill="1" applyBorder="1" applyAlignment="1">
      <alignment horizontal="center" vertical="center"/>
    </xf>
    <xf numFmtId="9" fontId="13" fillId="3" borderId="41" xfId="1" applyFont="1" applyFill="1" applyBorder="1" applyAlignment="1">
      <alignment horizontal="center"/>
    </xf>
    <xf numFmtId="165" fontId="11"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12" fillId="0" borderId="41" xfId="1" applyNumberFormat="1" applyFont="1" applyFill="1" applyBorder="1" applyAlignment="1">
      <alignment horizontal="center" vertical="center"/>
    </xf>
    <xf numFmtId="166" fontId="14" fillId="11" borderId="41" xfId="0" applyNumberFormat="1" applyFont="1" applyFill="1" applyBorder="1" applyAlignment="1">
      <alignment horizontal="center"/>
    </xf>
    <xf numFmtId="166" fontId="41" fillId="2" borderId="0" xfId="2" applyNumberFormat="1" applyFont="1" applyFill="1" applyAlignment="1">
      <alignment horizontal="center" wrapText="1"/>
    </xf>
    <xf numFmtId="166" fontId="33"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40" fillId="3" borderId="29" xfId="2" applyNumberFormat="1" applyFill="1" applyBorder="1" applyAlignment="1">
      <alignment horizontal="center" vertical="center" wrapText="1"/>
    </xf>
    <xf numFmtId="166" fontId="40" fillId="0" borderId="29" xfId="2" applyNumberFormat="1" applyBorder="1" applyAlignment="1">
      <alignment horizontal="center" vertical="center" wrapText="1"/>
    </xf>
    <xf numFmtId="166" fontId="40" fillId="3" borderId="63" xfId="2" applyNumberFormat="1" applyFill="1" applyBorder="1" applyAlignment="1">
      <alignment horizontal="center" vertical="center" wrapText="1"/>
    </xf>
    <xf numFmtId="166" fontId="51" fillId="29" borderId="34" xfId="2" applyNumberFormat="1" applyFont="1" applyFill="1" applyBorder="1" applyAlignment="1">
      <alignment horizontal="center" vertical="center" wrapText="1"/>
    </xf>
    <xf numFmtId="166" fontId="40" fillId="0" borderId="0" xfId="2" applyNumberFormat="1" applyAlignment="1">
      <alignment horizontal="center" wrapText="1"/>
    </xf>
    <xf numFmtId="166" fontId="37" fillId="25" borderId="56" xfId="1" applyNumberFormat="1" applyFont="1" applyFill="1" applyBorder="1" applyAlignment="1">
      <alignment horizontal="center" vertical="center" wrapText="1"/>
    </xf>
    <xf numFmtId="166" fontId="29" fillId="29" borderId="92" xfId="1" applyNumberFormat="1" applyFont="1" applyFill="1" applyBorder="1" applyAlignment="1">
      <alignment horizontal="center" vertical="center"/>
    </xf>
    <xf numFmtId="45" fontId="12" fillId="0" borderId="2" xfId="1" applyNumberFormat="1" applyFont="1" applyFill="1" applyBorder="1" applyAlignment="1">
      <alignment horizontal="center" vertical="center"/>
    </xf>
    <xf numFmtId="45" fontId="12" fillId="0" borderId="41" xfId="1" applyNumberFormat="1" applyFont="1" applyFill="1" applyBorder="1" applyAlignment="1">
      <alignment horizontal="center" vertical="center"/>
    </xf>
    <xf numFmtId="164" fontId="14"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11" fillId="2" borderId="2" xfId="1" applyNumberFormat="1" applyFont="1" applyFill="1" applyBorder="1" applyAlignment="1">
      <alignment horizontal="center" vertical="center"/>
    </xf>
    <xf numFmtId="167" fontId="0" fillId="2" borderId="2" xfId="1" applyNumberFormat="1" applyFont="1" applyFill="1" applyBorder="1" applyAlignment="1">
      <alignment horizontal="center" vertical="center"/>
    </xf>
    <xf numFmtId="167" fontId="11" fillId="2" borderId="2" xfId="1" applyNumberFormat="1" applyFont="1" applyFill="1" applyBorder="1" applyAlignment="1">
      <alignment horizontal="center" vertical="center"/>
    </xf>
    <xf numFmtId="45" fontId="10" fillId="2" borderId="2" xfId="1" applyNumberFormat="1" applyFont="1" applyFill="1" applyBorder="1" applyAlignment="1">
      <alignment horizontal="center" vertical="center"/>
    </xf>
    <xf numFmtId="1" fontId="11" fillId="2" borderId="2" xfId="1" applyNumberFormat="1" applyFont="1" applyFill="1" applyBorder="1" applyAlignment="1">
      <alignment horizontal="center" vertical="center"/>
    </xf>
    <xf numFmtId="9" fontId="9" fillId="2" borderId="93" xfId="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45" fontId="6" fillId="2" borderId="2" xfId="1" applyNumberFormat="1" applyFont="1" applyFill="1" applyBorder="1" applyAlignment="1">
      <alignment horizontal="center" vertical="center"/>
    </xf>
    <xf numFmtId="1" fontId="6" fillId="2"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4"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45" fontId="3" fillId="2" borderId="2"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0" fillId="0" borderId="90" xfId="0" applyNumberFormat="1" applyBorder="1" applyAlignment="1">
      <alignment horizontal="center"/>
    </xf>
    <xf numFmtId="0" fontId="32" fillId="35" borderId="21" xfId="2" applyFont="1" applyFill="1" applyBorder="1" applyAlignment="1">
      <alignment horizontal="center" vertical="center" wrapText="1"/>
    </xf>
    <xf numFmtId="0" fontId="32" fillId="35" borderId="22" xfId="2" applyFont="1" applyFill="1" applyBorder="1" applyAlignment="1">
      <alignment horizontal="center" vertical="center" wrapText="1"/>
    </xf>
    <xf numFmtId="0" fontId="32" fillId="35" borderId="49" xfId="2" applyFont="1" applyFill="1" applyBorder="1" applyAlignment="1">
      <alignment horizontal="center" vertical="center" wrapText="1"/>
    </xf>
    <xf numFmtId="0" fontId="32" fillId="35" borderId="39" xfId="2" applyFont="1" applyFill="1" applyBorder="1" applyAlignment="1">
      <alignment horizontal="center" vertical="center" wrapText="1"/>
    </xf>
    <xf numFmtId="49" fontId="32" fillId="25" borderId="43" xfId="2" applyNumberFormat="1" applyFont="1" applyFill="1" applyBorder="1" applyAlignment="1">
      <alignment horizontal="center" vertical="center" wrapText="1"/>
    </xf>
    <xf numFmtId="49" fontId="32" fillId="25" borderId="44" xfId="2" applyNumberFormat="1" applyFont="1" applyFill="1" applyBorder="1" applyAlignment="1">
      <alignment horizontal="center" vertical="center" wrapText="1"/>
    </xf>
    <xf numFmtId="49" fontId="32" fillId="25" borderId="45" xfId="2" applyNumberFormat="1" applyFont="1" applyFill="1" applyBorder="1" applyAlignment="1">
      <alignment horizontal="center" vertical="center" wrapText="1"/>
    </xf>
    <xf numFmtId="49" fontId="32" fillId="25" borderId="51" xfId="2" applyNumberFormat="1" applyFont="1" applyFill="1" applyBorder="1" applyAlignment="1">
      <alignment horizontal="center" vertical="center" wrapText="1"/>
    </xf>
    <xf numFmtId="49" fontId="32" fillId="25" borderId="52" xfId="2" applyNumberFormat="1" applyFont="1" applyFill="1" applyBorder="1" applyAlignment="1">
      <alignment horizontal="center" vertical="center" wrapText="1"/>
    </xf>
    <xf numFmtId="49" fontId="32" fillId="25" borderId="53" xfId="2" applyNumberFormat="1" applyFont="1" applyFill="1" applyBorder="1" applyAlignment="1">
      <alignment horizontal="center" vertical="center" wrapText="1"/>
    </xf>
    <xf numFmtId="0" fontId="45" fillId="28" borderId="87" xfId="2" applyFont="1" applyFill="1" applyBorder="1" applyAlignment="1">
      <alignment horizontal="center" vertical="center"/>
    </xf>
    <xf numFmtId="0" fontId="45" fillId="28" borderId="88" xfId="2" applyFont="1" applyFill="1" applyBorder="1" applyAlignment="1">
      <alignment horizontal="center" vertical="center"/>
    </xf>
    <xf numFmtId="0" fontId="45" fillId="28" borderId="89" xfId="2" applyFont="1" applyFill="1" applyBorder="1" applyAlignment="1">
      <alignment horizontal="center" vertical="center"/>
    </xf>
    <xf numFmtId="49" fontId="32" fillId="34" borderId="86" xfId="2" applyNumberFormat="1" applyFont="1" applyFill="1" applyBorder="1" applyAlignment="1">
      <alignment horizontal="left" vertical="center" wrapText="1" indent="1"/>
    </xf>
    <xf numFmtId="49" fontId="32" fillId="34" borderId="21" xfId="2" applyNumberFormat="1" applyFont="1" applyFill="1" applyBorder="1" applyAlignment="1">
      <alignment horizontal="left" vertical="center" wrapText="1" indent="1"/>
    </xf>
    <xf numFmtId="49" fontId="32" fillId="34" borderId="22" xfId="2" applyNumberFormat="1" applyFont="1" applyFill="1" applyBorder="1" applyAlignment="1">
      <alignment horizontal="left" vertical="center" wrapText="1" indent="1"/>
    </xf>
    <xf numFmtId="0" fontId="43" fillId="36" borderId="46" xfId="2" applyFont="1" applyFill="1" applyBorder="1" applyAlignment="1">
      <alignment horizontal="center" vertical="center" wrapText="1"/>
    </xf>
    <xf numFmtId="0" fontId="43" fillId="36" borderId="47" xfId="2" applyFont="1" applyFill="1" applyBorder="1" applyAlignment="1">
      <alignment horizontal="center" vertical="center" wrapText="1"/>
    </xf>
    <xf numFmtId="0" fontId="43" fillId="36" borderId="48" xfId="2" applyFont="1" applyFill="1" applyBorder="1" applyAlignment="1">
      <alignment horizontal="center" vertical="center" wrapText="1"/>
    </xf>
    <xf numFmtId="0" fontId="43" fillId="37" borderId="46" xfId="2" applyFont="1" applyFill="1" applyBorder="1" applyAlignment="1">
      <alignment horizontal="center" vertical="center" wrapText="1"/>
    </xf>
    <xf numFmtId="0" fontId="43" fillId="37" borderId="47" xfId="2" applyFont="1" applyFill="1" applyBorder="1" applyAlignment="1">
      <alignment horizontal="center" vertical="center" wrapText="1"/>
    </xf>
    <xf numFmtId="0" fontId="43" fillId="37" borderId="48" xfId="2" applyFont="1" applyFill="1" applyBorder="1" applyAlignment="1">
      <alignment horizontal="center" vertical="center" wrapText="1"/>
    </xf>
    <xf numFmtId="0" fontId="43" fillId="38" borderId="46" xfId="2" applyFont="1" applyFill="1" applyBorder="1" applyAlignment="1">
      <alignment horizontal="center" vertical="center" wrapText="1"/>
    </xf>
    <xf numFmtId="0" fontId="43" fillId="38" borderId="47" xfId="2" applyFont="1" applyFill="1" applyBorder="1" applyAlignment="1">
      <alignment horizontal="center" vertical="center" wrapText="1"/>
    </xf>
    <xf numFmtId="0" fontId="43" fillId="38" borderId="48" xfId="2" applyFont="1" applyFill="1" applyBorder="1" applyAlignment="1">
      <alignment horizontal="center" vertical="center" wrapText="1"/>
    </xf>
    <xf numFmtId="0" fontId="43" fillId="24" borderId="85" xfId="2" applyFont="1" applyFill="1" applyBorder="1" applyAlignment="1">
      <alignment horizontal="center" vertical="center" wrapText="1"/>
    </xf>
    <xf numFmtId="0" fontId="43" fillId="24" borderId="83" xfId="2" applyFont="1" applyFill="1" applyBorder="1" applyAlignment="1">
      <alignment horizontal="center" vertical="center" wrapText="1"/>
    </xf>
    <xf numFmtId="0" fontId="43" fillId="24" borderId="84" xfId="2" applyFont="1" applyFill="1" applyBorder="1" applyAlignment="1">
      <alignment horizontal="center" vertical="center" wrapText="1"/>
    </xf>
    <xf numFmtId="0" fontId="43" fillId="39" borderId="82" xfId="2" applyFont="1" applyFill="1" applyBorder="1" applyAlignment="1">
      <alignment horizontal="center" vertical="center" wrapText="1"/>
    </xf>
    <xf numFmtId="0" fontId="43" fillId="39" borderId="83" xfId="2" applyFont="1" applyFill="1" applyBorder="1" applyAlignment="1">
      <alignment horizontal="center" vertical="center" wrapText="1"/>
    </xf>
    <xf numFmtId="0" fontId="43" fillId="39" borderId="84" xfId="2" applyFont="1" applyFill="1" applyBorder="1" applyAlignment="1">
      <alignment horizontal="center" vertical="center" wrapText="1"/>
    </xf>
    <xf numFmtId="9" fontId="47" fillId="30" borderId="79" xfId="0" applyNumberFormat="1" applyFont="1" applyFill="1" applyBorder="1" applyAlignment="1">
      <alignment horizontal="center" vertical="center" wrapText="1"/>
    </xf>
    <xf numFmtId="9" fontId="47" fillId="30" borderId="80" xfId="0" applyNumberFormat="1" applyFont="1" applyFill="1" applyBorder="1" applyAlignment="1">
      <alignment horizontal="center" vertical="center" wrapText="1"/>
    </xf>
    <xf numFmtId="9" fontId="47" fillId="30" borderId="81" xfId="0" applyNumberFormat="1" applyFont="1" applyFill="1" applyBorder="1" applyAlignment="1">
      <alignment horizontal="center" vertical="center" wrapText="1"/>
    </xf>
    <xf numFmtId="9" fontId="32" fillId="33" borderId="36" xfId="0" applyNumberFormat="1" applyFont="1" applyFill="1" applyBorder="1" applyAlignment="1">
      <alignment horizontal="center" vertical="center" wrapText="1"/>
    </xf>
    <xf numFmtId="9" fontId="32" fillId="33" borderId="35" xfId="0" applyNumberFormat="1" applyFont="1" applyFill="1" applyBorder="1" applyAlignment="1">
      <alignment horizontal="center" vertical="center" wrapText="1"/>
    </xf>
    <xf numFmtId="9" fontId="32"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1" fillId="20" borderId="10" xfId="0" applyFont="1" applyFill="1" applyBorder="1" applyAlignment="1">
      <alignment horizontal="right" vertical="center"/>
    </xf>
    <xf numFmtId="0" fontId="31" fillId="20" borderId="11" xfId="0" applyFont="1" applyFill="1" applyBorder="1" applyAlignment="1">
      <alignment horizontal="right" vertical="center"/>
    </xf>
    <xf numFmtId="0" fontId="31" fillId="19" borderId="0" xfId="0" applyFont="1" applyFill="1" applyAlignment="1">
      <alignment horizontal="center" vertical="center"/>
    </xf>
    <xf numFmtId="0" fontId="31"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ENERGY/ENERGY%20ACCESS%2001%20JAN%202026.xlsx" TargetMode="External"/><Relationship Id="rId1" Type="http://schemas.openxmlformats.org/officeDocument/2006/relationships/externalLinkPath" Target="/Users/simonblair/Library/CloudStorage/Dropbox/ACXPA%20Quality%20Insights/REPORTS/ENERGY/ENERGY%20ACCESS%2001%20JA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GL"/>
      <sheetName val="ALINTA"/>
      <sheetName val="ENERGY AUSTRALIA"/>
      <sheetName val="ORIGIN"/>
      <sheetName val="RED ENERGY"/>
      <sheetName val="ENGIE"/>
      <sheetName val="MOMENTUM"/>
    </sheetNames>
    <sheetDataSet>
      <sheetData sheetId="0"/>
      <sheetData sheetId="1"/>
      <sheetData sheetId="2">
        <row r="4">
          <cell r="D4">
            <v>0.44402777777777785</v>
          </cell>
          <cell r="E4">
            <v>0.60395833333333326</v>
          </cell>
          <cell r="F4">
            <v>0.54323412698412699</v>
          </cell>
          <cell r="G4">
            <v>0.59543650793650793</v>
          </cell>
          <cell r="H4">
            <v>0.7767857142857143</v>
          </cell>
          <cell r="I4">
            <v>0.953125</v>
          </cell>
          <cell r="J4">
            <v>0.52443452380952371</v>
          </cell>
        </row>
        <row r="70">
          <cell r="B70">
            <v>2.3156415343915343E-3</v>
          </cell>
          <cell r="D70">
            <v>1.402391975308642E-3</v>
          </cell>
          <cell r="E70">
            <v>1.7746913580246914E-3</v>
          </cell>
          <cell r="F70">
            <v>2.2569444444444447E-3</v>
          </cell>
          <cell r="G70">
            <v>4.3769290123456791E-3</v>
          </cell>
          <cell r="H70">
            <v>3.1616512345679013E-3</v>
          </cell>
          <cell r="I70">
            <v>6.2692901234567898E-4</v>
          </cell>
          <cell r="J70">
            <v>2.6099537037037033E-3</v>
          </cell>
        </row>
      </sheetData>
      <sheetData sheetId="3">
        <row r="4">
          <cell r="D4">
            <v>0.43083333333333329</v>
          </cell>
          <cell r="E4">
            <v>0.43083333333333329</v>
          </cell>
          <cell r="F4">
            <v>0.57250000000000001</v>
          </cell>
          <cell r="G4">
            <v>0.41000000000000003</v>
          </cell>
          <cell r="H4">
            <v>0.41000000000000003</v>
          </cell>
          <cell r="I4">
            <v>0.41000000000000003</v>
          </cell>
        </row>
      </sheetData>
      <sheetData sheetId="4">
        <row r="4">
          <cell r="D4">
            <v>0.64249999999999996</v>
          </cell>
          <cell r="E4">
            <v>0.64249999999999996</v>
          </cell>
          <cell r="F4">
            <v>0.67374999999999996</v>
          </cell>
          <cell r="G4">
            <v>0.57999999999999996</v>
          </cell>
          <cell r="H4">
            <v>0.67374999999999996</v>
          </cell>
          <cell r="I4">
            <v>0.41124999999999995</v>
          </cell>
        </row>
      </sheetData>
      <sheetData sheetId="5">
        <row r="4">
          <cell r="D4">
            <v>0.39392857142857146</v>
          </cell>
          <cell r="E4">
            <v>0.51833333333333331</v>
          </cell>
          <cell r="F4">
            <v>0.59125000000000005</v>
          </cell>
          <cell r="G4">
            <v>0.62250000000000005</v>
          </cell>
          <cell r="H4">
            <v>0.51089285714285715</v>
          </cell>
          <cell r="I4">
            <v>0.62250000000000005</v>
          </cell>
        </row>
      </sheetData>
      <sheetData sheetId="6">
        <row r="4">
          <cell r="D4">
            <v>0.10535714285714282</v>
          </cell>
          <cell r="E4">
            <v>0.66785714285714282</v>
          </cell>
          <cell r="F4">
            <v>0.66785714285714282</v>
          </cell>
          <cell r="G4">
            <v>0.63660714285714282</v>
          </cell>
          <cell r="H4">
            <v>0.63660714285714282</v>
          </cell>
          <cell r="I4">
            <v>0.85833333333333339</v>
          </cell>
        </row>
      </sheetData>
      <sheetData sheetId="7">
        <row r="4">
          <cell r="D4">
            <v>0.2410714285714286</v>
          </cell>
          <cell r="E4">
            <v>0.95833333333333337</v>
          </cell>
          <cell r="F4">
            <v>0.7723214285714286</v>
          </cell>
          <cell r="G4">
            <v>0.92708333333333337</v>
          </cell>
          <cell r="H4">
            <v>0.92708333333333337</v>
          </cell>
          <cell r="I4">
            <v>0.8348214285714286</v>
          </cell>
        </row>
      </sheetData>
      <sheetData sheetId="8">
        <row r="4">
          <cell r="D4">
            <v>0.95833333333333337</v>
          </cell>
          <cell r="E4">
            <v>0.95833333333333337</v>
          </cell>
          <cell r="F4">
            <v>0.95833333333333337</v>
          </cell>
          <cell r="G4">
            <v>0.95833333333333337</v>
          </cell>
          <cell r="H4">
            <v>0.92708333333333337</v>
          </cell>
          <cell r="I4">
            <v>0.95833333333333337</v>
          </cell>
        </row>
      </sheetData>
      <sheetData sheetId="9">
        <row r="4">
          <cell r="D4">
            <v>0.79</v>
          </cell>
          <cell r="E4">
            <v>0.44124999999999998</v>
          </cell>
          <cell r="F4">
            <v>0.42785714285714288</v>
          </cell>
          <cell r="G4">
            <v>0.79</v>
          </cell>
          <cell r="H4">
            <v>0</v>
          </cell>
          <cell r="I4">
            <v>0.69750000000000001</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tabSelected="1" zoomScale="97" zoomScaleNormal="97" workbookViewId="0">
      <pane xSplit="1" ySplit="4" topLeftCell="U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8" customWidth="1"/>
    <col min="2" max="2" width="24" style="80" customWidth="1"/>
    <col min="3" max="3" width="21.1640625" style="75" customWidth="1"/>
    <col min="4" max="4" width="16.6640625" style="75" customWidth="1"/>
    <col min="5" max="26" width="16.83203125" style="76" customWidth="1"/>
    <col min="27" max="27" width="0.83203125" style="76" customWidth="1"/>
    <col min="28" max="28" width="18.33203125" style="76" customWidth="1"/>
    <col min="29" max="29" width="16.6640625" style="75" customWidth="1"/>
    <col min="30" max="30" width="16.5" style="75" customWidth="1"/>
    <col min="31" max="31" width="3.6640625" style="75" customWidth="1"/>
    <col min="32" max="32" width="16.6640625" style="75" customWidth="1"/>
    <col min="33" max="33" width="16.6640625" style="280" customWidth="1"/>
    <col min="34" max="38" width="16.6640625" style="75" customWidth="1"/>
    <col min="39" max="39" width="16.6640625" style="280" customWidth="1"/>
  </cols>
  <sheetData>
    <row r="1" spans="1:39" ht="17" thickBot="1" x14ac:dyDescent="0.25">
      <c r="A1" s="77"/>
      <c r="B1" s="79"/>
      <c r="C1" s="81"/>
      <c r="D1" s="65"/>
      <c r="E1" s="66"/>
      <c r="F1" s="66"/>
      <c r="G1" s="66"/>
      <c r="H1" s="66"/>
      <c r="I1" s="66"/>
      <c r="J1" s="66"/>
      <c r="K1" s="66"/>
      <c r="L1" s="66"/>
      <c r="M1" s="66"/>
      <c r="N1" s="66"/>
      <c r="O1" s="66"/>
      <c r="P1" s="66"/>
      <c r="Q1" s="66"/>
      <c r="R1" s="66"/>
      <c r="S1" s="66"/>
      <c r="T1" s="66"/>
      <c r="U1" s="66"/>
      <c r="V1" s="66"/>
      <c r="W1" s="66"/>
      <c r="X1" s="66"/>
      <c r="Y1" s="66"/>
      <c r="Z1" s="66"/>
      <c r="AA1" s="66"/>
      <c r="AB1" s="66"/>
      <c r="AC1" s="65"/>
      <c r="AD1" s="65"/>
      <c r="AE1" s="65"/>
      <c r="AF1" s="65"/>
      <c r="AG1" s="272"/>
      <c r="AH1" s="65"/>
      <c r="AI1" s="65"/>
      <c r="AJ1" s="65"/>
      <c r="AK1" s="65"/>
      <c r="AL1" s="65"/>
      <c r="AM1" s="272"/>
    </row>
    <row r="2" spans="1:39" ht="27" customHeight="1" thickBot="1" x14ac:dyDescent="0.25">
      <c r="A2" s="324" t="s">
        <v>13</v>
      </c>
      <c r="B2" s="345" t="s">
        <v>88</v>
      </c>
      <c r="C2" s="348" t="s">
        <v>89</v>
      </c>
      <c r="D2" s="327" t="s">
        <v>196</v>
      </c>
      <c r="E2" s="328"/>
      <c r="F2" s="328"/>
      <c r="G2" s="328"/>
      <c r="H2" s="328"/>
      <c r="I2" s="328"/>
      <c r="J2" s="328"/>
      <c r="K2" s="328"/>
      <c r="L2" s="328"/>
      <c r="M2" s="328"/>
      <c r="N2" s="328"/>
      <c r="O2" s="328"/>
      <c r="P2" s="328"/>
      <c r="Q2" s="328"/>
      <c r="R2" s="328"/>
      <c r="S2" s="328"/>
      <c r="T2" s="328"/>
      <c r="U2" s="328"/>
      <c r="V2" s="328"/>
      <c r="W2" s="328"/>
      <c r="X2" s="328"/>
      <c r="Y2" s="328"/>
      <c r="Z2" s="329"/>
      <c r="AA2" s="67"/>
      <c r="AB2" s="314" t="s">
        <v>52</v>
      </c>
      <c r="AC2" s="314"/>
      <c r="AD2" s="315"/>
      <c r="AE2" s="120"/>
      <c r="AF2" s="318"/>
      <c r="AG2" s="319"/>
      <c r="AH2" s="319"/>
      <c r="AI2" s="319"/>
      <c r="AJ2" s="319"/>
      <c r="AK2" s="319"/>
      <c r="AL2" s="320"/>
      <c r="AM2" s="313"/>
    </row>
    <row r="3" spans="1:39" ht="27" customHeight="1" thickBot="1" x14ac:dyDescent="0.25">
      <c r="A3" s="325"/>
      <c r="B3" s="346"/>
      <c r="C3" s="349"/>
      <c r="D3" s="330" t="s">
        <v>9</v>
      </c>
      <c r="E3" s="331"/>
      <c r="F3" s="331"/>
      <c r="G3" s="331"/>
      <c r="H3" s="332"/>
      <c r="I3" s="333" t="s">
        <v>10</v>
      </c>
      <c r="J3" s="334"/>
      <c r="K3" s="334"/>
      <c r="L3" s="335"/>
      <c r="M3" s="336" t="s">
        <v>11</v>
      </c>
      <c r="N3" s="337"/>
      <c r="O3" s="337"/>
      <c r="P3" s="337"/>
      <c r="Q3" s="338"/>
      <c r="R3" s="339" t="s">
        <v>12</v>
      </c>
      <c r="S3" s="340"/>
      <c r="T3" s="340"/>
      <c r="U3" s="341"/>
      <c r="V3" s="342" t="s">
        <v>13</v>
      </c>
      <c r="W3" s="343"/>
      <c r="X3" s="343"/>
      <c r="Y3" s="343"/>
      <c r="Z3" s="344"/>
      <c r="AA3" s="68"/>
      <c r="AB3" s="316"/>
      <c r="AC3" s="316"/>
      <c r="AD3" s="317"/>
      <c r="AE3" s="121"/>
      <c r="AF3" s="321"/>
      <c r="AG3" s="322"/>
      <c r="AH3" s="322"/>
      <c r="AI3" s="322"/>
      <c r="AJ3" s="322"/>
      <c r="AK3" s="322"/>
      <c r="AL3" s="323"/>
      <c r="AM3" s="313"/>
    </row>
    <row r="4" spans="1:39" ht="45" customHeight="1" thickBot="1" x14ac:dyDescent="0.25">
      <c r="A4" s="326"/>
      <c r="B4" s="347"/>
      <c r="C4" s="350"/>
      <c r="D4" s="122" t="s">
        <v>53</v>
      </c>
      <c r="E4" s="123" t="s">
        <v>18</v>
      </c>
      <c r="F4" s="123" t="s">
        <v>19</v>
      </c>
      <c r="G4" s="123" t="s">
        <v>20</v>
      </c>
      <c r="H4" s="123" t="s">
        <v>21</v>
      </c>
      <c r="I4" s="124" t="s">
        <v>54</v>
      </c>
      <c r="J4" s="125" t="s">
        <v>22</v>
      </c>
      <c r="K4" s="126" t="s">
        <v>23</v>
      </c>
      <c r="L4" s="127" t="s">
        <v>24</v>
      </c>
      <c r="M4" s="128" t="s">
        <v>55</v>
      </c>
      <c r="N4" s="129" t="s">
        <v>25</v>
      </c>
      <c r="O4" s="129" t="s">
        <v>28</v>
      </c>
      <c r="P4" s="129" t="s">
        <v>26</v>
      </c>
      <c r="Q4" s="130" t="s">
        <v>27</v>
      </c>
      <c r="R4" s="131" t="s">
        <v>56</v>
      </c>
      <c r="S4" s="132" t="s">
        <v>30</v>
      </c>
      <c r="T4" s="69" t="s">
        <v>29</v>
      </c>
      <c r="U4" s="69" t="s">
        <v>31</v>
      </c>
      <c r="V4" s="133" t="s">
        <v>57</v>
      </c>
      <c r="W4" s="134" t="s">
        <v>32</v>
      </c>
      <c r="X4" s="135" t="s">
        <v>33</v>
      </c>
      <c r="Y4" s="135" t="s">
        <v>34</v>
      </c>
      <c r="Z4" s="136" t="s">
        <v>197</v>
      </c>
      <c r="AA4" s="70"/>
      <c r="AB4" s="137" t="s">
        <v>80</v>
      </c>
      <c r="AC4" s="137" t="s">
        <v>58</v>
      </c>
      <c r="AD4" s="137" t="s">
        <v>59</v>
      </c>
      <c r="AE4" s="138"/>
      <c r="AF4" s="139" t="s">
        <v>87</v>
      </c>
      <c r="AG4" s="281" t="s">
        <v>41</v>
      </c>
      <c r="AH4" s="140" t="s">
        <v>40</v>
      </c>
      <c r="AI4" s="140" t="s">
        <v>37</v>
      </c>
      <c r="AJ4" s="140" t="s">
        <v>38</v>
      </c>
      <c r="AK4" s="140" t="s">
        <v>39</v>
      </c>
      <c r="AL4" s="259" t="s">
        <v>85</v>
      </c>
      <c r="AM4" s="273" t="s">
        <v>81</v>
      </c>
    </row>
    <row r="5" spans="1:39" ht="24" x14ac:dyDescent="0.2">
      <c r="A5" s="117" t="str">
        <f>OVERALL!D$1</f>
        <v>AGL</v>
      </c>
      <c r="B5" s="141">
        <f>OVERALL!D3</f>
        <v>0.41904166666666665</v>
      </c>
      <c r="C5" s="142">
        <f>OVERALL!D$4</f>
        <v>0.40833333333333338</v>
      </c>
      <c r="D5" s="143">
        <f>OVERALL!D$6</f>
        <v>0.33333333333333337</v>
      </c>
      <c r="E5" s="71">
        <f>OVERALL!D$7</f>
        <v>0.83333333333333337</v>
      </c>
      <c r="F5" s="72">
        <f>OVERALL!D$8</f>
        <v>0.33333333333333331</v>
      </c>
      <c r="G5" s="82">
        <f>OVERALL!D$9</f>
        <v>0.16666666666666666</v>
      </c>
      <c r="H5" s="84">
        <f>OVERALL!D$10</f>
        <v>0</v>
      </c>
      <c r="I5" s="144">
        <f>OVERALL!D$12</f>
        <v>0.33333333333333331</v>
      </c>
      <c r="J5" s="82">
        <f>OVERALL!D$13</f>
        <v>0</v>
      </c>
      <c r="K5" s="83">
        <f>OVERALL!D$14</f>
        <v>1</v>
      </c>
      <c r="L5" s="145">
        <f>OVERALL!D$15</f>
        <v>0</v>
      </c>
      <c r="M5" s="146">
        <f>OVERALL!D$17</f>
        <v>0.66666666666666663</v>
      </c>
      <c r="N5" s="82">
        <f>OVERALL!D$18</f>
        <v>0.5</v>
      </c>
      <c r="O5" s="83">
        <f>OVERALL!D$19</f>
        <v>0.16666666666666666</v>
      </c>
      <c r="P5" s="83">
        <f>OVERALL!D$20</f>
        <v>1</v>
      </c>
      <c r="Q5" s="145">
        <f>OVERALL!D$21</f>
        <v>1</v>
      </c>
      <c r="R5" s="147">
        <f>OVERALL!D$23</f>
        <v>0.33333333333333331</v>
      </c>
      <c r="S5" s="148">
        <f>OVERALL!D$24</f>
        <v>0.33333333333333331</v>
      </c>
      <c r="T5" s="84">
        <f>OVERALL!D$25</f>
        <v>0.16666666666666666</v>
      </c>
      <c r="U5" s="84">
        <f>OVERALL!D$26</f>
        <v>0.5</v>
      </c>
      <c r="V5" s="149">
        <f>OVERALL!D$28</f>
        <v>0.29166666666666663</v>
      </c>
      <c r="W5" s="148">
        <f>OVERALL!D$29</f>
        <v>0.66666666666666663</v>
      </c>
      <c r="X5" s="84">
        <f>OVERALL!D$30</f>
        <v>0</v>
      </c>
      <c r="Y5" s="84">
        <f>OVERALL!D$31</f>
        <v>0</v>
      </c>
      <c r="Z5" s="84">
        <f>OVERALL!D$32</f>
        <v>0.5</v>
      </c>
      <c r="AA5" s="73"/>
      <c r="AB5" s="83">
        <f>OVERALL!D$34</f>
        <v>0</v>
      </c>
      <c r="AC5" s="83">
        <f>OVERALL!$D$35</f>
        <v>0</v>
      </c>
      <c r="AD5" s="83">
        <f>OVERALL!$D$36</f>
        <v>0</v>
      </c>
      <c r="AE5" s="74"/>
      <c r="AF5" s="85">
        <f>OVERALL!D$39</f>
        <v>1</v>
      </c>
      <c r="AG5" s="274">
        <f>OVERALL!D$40</f>
        <v>4.5331790123456792E-3</v>
      </c>
      <c r="AH5" s="86">
        <f>OVERALL!D$41</f>
        <v>3.8333333333333335</v>
      </c>
      <c r="AI5" s="83">
        <f>OVERALL!D$42</f>
        <v>0.16666666666666666</v>
      </c>
      <c r="AJ5" s="83">
        <f>OVERALL!D$43</f>
        <v>0.83333333333333337</v>
      </c>
      <c r="AK5" s="83">
        <f>OVERALL!D$44</f>
        <v>0.33333333333333331</v>
      </c>
      <c r="AL5" s="83">
        <f>OVERALL!D$45</f>
        <v>0</v>
      </c>
      <c r="AM5" s="274">
        <f>OVERALL!D71</f>
        <v>5.9355709876543214E-3</v>
      </c>
    </row>
    <row r="6" spans="1:39" ht="24" x14ac:dyDescent="0.2">
      <c r="A6" s="117" t="str">
        <f>OVERALL!E$1</f>
        <v>ALINTA</v>
      </c>
      <c r="B6" s="141">
        <f>OVERALL!E3</f>
        <v>0.57202083333333342</v>
      </c>
      <c r="C6" s="150">
        <f>OVERALL!E$4</f>
        <v>0.55833333333333346</v>
      </c>
      <c r="D6" s="143">
        <f>OVERALL!E$6</f>
        <v>0.375</v>
      </c>
      <c r="E6" s="151">
        <f>OVERALL!E$7</f>
        <v>0.83333333333333337</v>
      </c>
      <c r="F6" s="152">
        <f>OVERALL!E$8</f>
        <v>0.66666666666666663</v>
      </c>
      <c r="G6" s="153">
        <f>OVERALL!E$9</f>
        <v>0</v>
      </c>
      <c r="H6" s="154">
        <f>OVERALL!E$10</f>
        <v>0</v>
      </c>
      <c r="I6" s="144">
        <f>OVERALL!E$12</f>
        <v>0.33333333333333331</v>
      </c>
      <c r="J6" s="153">
        <f>OVERALL!E$13</f>
        <v>0</v>
      </c>
      <c r="K6" s="155">
        <f>OVERALL!E$14</f>
        <v>1</v>
      </c>
      <c r="L6" s="156">
        <f>OVERALL!E$15</f>
        <v>0</v>
      </c>
      <c r="M6" s="146">
        <f>OVERALL!E$17</f>
        <v>0.66666666666666663</v>
      </c>
      <c r="N6" s="153">
        <f>OVERALL!E$18</f>
        <v>0.66666666666666663</v>
      </c>
      <c r="O6" s="155">
        <f>OVERALL!E$19</f>
        <v>0.16666666666666666</v>
      </c>
      <c r="P6" s="155">
        <f>OVERALL!E$20</f>
        <v>0.83333333333333337</v>
      </c>
      <c r="Q6" s="156">
        <f>OVERALL!E$21</f>
        <v>1</v>
      </c>
      <c r="R6" s="147">
        <f>OVERALL!E$23</f>
        <v>0.66666666666666663</v>
      </c>
      <c r="S6" s="157">
        <f>OVERALL!E$24</f>
        <v>0.5</v>
      </c>
      <c r="T6" s="154">
        <f>OVERALL!E$25</f>
        <v>0.5</v>
      </c>
      <c r="U6" s="154">
        <f>OVERALL!E$26</f>
        <v>1</v>
      </c>
      <c r="V6" s="149">
        <f>OVERALL!E$28</f>
        <v>0.83333333333333337</v>
      </c>
      <c r="W6" s="157">
        <f>OVERALL!E$29</f>
        <v>1</v>
      </c>
      <c r="X6" s="154">
        <f>OVERALL!E$30</f>
        <v>0.66666666666666663</v>
      </c>
      <c r="Y6" s="154">
        <f>OVERALL!E$31</f>
        <v>0.83333333333333337</v>
      </c>
      <c r="Z6" s="154">
        <f>OVERALL!E$32</f>
        <v>0.83333333333333337</v>
      </c>
      <c r="AA6" s="73"/>
      <c r="AB6" s="155">
        <f>OVERALL!E$34</f>
        <v>0.16666666666666666</v>
      </c>
      <c r="AC6" s="155">
        <f>OVERALL!$J$35</f>
        <v>0</v>
      </c>
      <c r="AD6" s="155">
        <f>OVERALL!$J$36</f>
        <v>0</v>
      </c>
      <c r="AE6" s="74"/>
      <c r="AF6" s="158">
        <f>OVERALL!E$39</f>
        <v>1</v>
      </c>
      <c r="AG6" s="275">
        <f>OVERALL!E$40</f>
        <v>3.1809413580246916E-3</v>
      </c>
      <c r="AH6" s="159">
        <f>OVERALL!E$41</f>
        <v>5.5</v>
      </c>
      <c r="AI6" s="155">
        <f>OVERALL!E$42</f>
        <v>0.4</v>
      </c>
      <c r="AJ6" s="155">
        <f>OVERALL!E$43</f>
        <v>1</v>
      </c>
      <c r="AK6" s="155">
        <f>OVERALL!E$44</f>
        <v>0.66666666666666663</v>
      </c>
      <c r="AL6" s="155">
        <f>OVERALL!E$45</f>
        <v>0.33333333333333331</v>
      </c>
      <c r="AM6" s="275">
        <f>OVERALL!E71</f>
        <v>4.9556327160493827E-3</v>
      </c>
    </row>
    <row r="7" spans="1:39" ht="24" x14ac:dyDescent="0.2">
      <c r="A7" s="117" t="str">
        <f>OVERALL!F$1</f>
        <v>ENERGY AUSTRALIA</v>
      </c>
      <c r="B7" s="141">
        <f>OVERALL!F3</f>
        <v>0.64276190476190465</v>
      </c>
      <c r="C7" s="142">
        <f>OVERALL!F$4</f>
        <v>0.68541666666666667</v>
      </c>
      <c r="D7" s="143">
        <f>OVERALL!F$6</f>
        <v>0.75</v>
      </c>
      <c r="E7" s="71">
        <f>OVERALL!F$7</f>
        <v>1</v>
      </c>
      <c r="F7" s="72">
        <f>OVERALL!F$8</f>
        <v>1</v>
      </c>
      <c r="G7" s="82">
        <f>OVERALL!F$9</f>
        <v>0.83333333333333337</v>
      </c>
      <c r="H7" s="84">
        <f>OVERALL!F$10</f>
        <v>0.16666666666666666</v>
      </c>
      <c r="I7" s="144">
        <f>OVERALL!F$12</f>
        <v>0.5</v>
      </c>
      <c r="J7" s="82">
        <f>OVERALL!F$13</f>
        <v>0</v>
      </c>
      <c r="K7" s="83">
        <f>OVERALL!F$14</f>
        <v>1</v>
      </c>
      <c r="L7" s="145">
        <f>OVERALL!F$15</f>
        <v>0.5</v>
      </c>
      <c r="M7" s="146">
        <f>OVERALL!F$17</f>
        <v>0.70833333333333326</v>
      </c>
      <c r="N7" s="82">
        <f>OVERALL!F$18</f>
        <v>0.66666666666666663</v>
      </c>
      <c r="O7" s="83">
        <f>OVERALL!F$19</f>
        <v>0.16666666666666666</v>
      </c>
      <c r="P7" s="83">
        <f>OVERALL!F$20</f>
        <v>1</v>
      </c>
      <c r="Q7" s="145">
        <f>OVERALL!F$21</f>
        <v>1</v>
      </c>
      <c r="R7" s="147">
        <f>OVERALL!F$23</f>
        <v>0.66666666666666663</v>
      </c>
      <c r="S7" s="148">
        <f>OVERALL!F$24</f>
        <v>0.5</v>
      </c>
      <c r="T7" s="84">
        <f>OVERALL!F$25</f>
        <v>0.5</v>
      </c>
      <c r="U7" s="84">
        <f>OVERALL!F$26</f>
        <v>1</v>
      </c>
      <c r="V7" s="149">
        <f>OVERALL!F$28</f>
        <v>0.79166666666666674</v>
      </c>
      <c r="W7" s="148">
        <f>OVERALL!F$29</f>
        <v>0.83333333333333337</v>
      </c>
      <c r="X7" s="84">
        <f>OVERALL!F$30</f>
        <v>0.66666666666666663</v>
      </c>
      <c r="Y7" s="84">
        <f>OVERALL!F$31</f>
        <v>0.83333333333333337</v>
      </c>
      <c r="Z7" s="84">
        <f>OVERALL!F$32</f>
        <v>0.83333333333333337</v>
      </c>
      <c r="AA7" s="73"/>
      <c r="AB7" s="83">
        <f>OVERALL!F$34</f>
        <v>0</v>
      </c>
      <c r="AC7" s="83">
        <f>OVERALL!$E$35</f>
        <v>0</v>
      </c>
      <c r="AD7" s="83">
        <f>OVERALL!$E$36</f>
        <v>0.16666666666666666</v>
      </c>
      <c r="AE7" s="74"/>
      <c r="AF7" s="85">
        <f>OVERALL!F$39</f>
        <v>1</v>
      </c>
      <c r="AG7" s="274">
        <f>OVERALL!F$40</f>
        <v>3.7943672839506177E-3</v>
      </c>
      <c r="AH7" s="86">
        <f>OVERALL!F$41</f>
        <v>6.166666666666667</v>
      </c>
      <c r="AI7" s="83">
        <f>OVERALL!F$42</f>
        <v>0.4</v>
      </c>
      <c r="AJ7" s="83">
        <f>OVERALL!F$43</f>
        <v>0.8</v>
      </c>
      <c r="AK7" s="83">
        <f>OVERALL!F$44</f>
        <v>0.66666666666666663</v>
      </c>
      <c r="AL7" s="83">
        <f>OVERALL!F$45</f>
        <v>0</v>
      </c>
      <c r="AM7" s="274">
        <f>OVERALL!F71</f>
        <v>6.0513117283950623E-3</v>
      </c>
    </row>
    <row r="8" spans="1:39" ht="24" x14ac:dyDescent="0.2">
      <c r="A8" s="117" t="str">
        <f>OVERALL!G$1</f>
        <v>ORIGIN</v>
      </c>
      <c r="B8" s="141">
        <f>OVERALL!G3</f>
        <v>0.42071428571428571</v>
      </c>
      <c r="C8" s="150">
        <f>OVERALL!G$4</f>
        <v>0.34583333333333333</v>
      </c>
      <c r="D8" s="143">
        <f>OVERALL!G$6</f>
        <v>0.35</v>
      </c>
      <c r="E8" s="151">
        <f>OVERALL!G$7</f>
        <v>1</v>
      </c>
      <c r="F8" s="152">
        <f>OVERALL!G$8</f>
        <v>0.2</v>
      </c>
      <c r="G8" s="153">
        <f>OVERALL!G$9</f>
        <v>0.2</v>
      </c>
      <c r="H8" s="154">
        <f>OVERALL!G$10</f>
        <v>0</v>
      </c>
      <c r="I8" s="144">
        <f>OVERALL!G$12</f>
        <v>0.33333333333333331</v>
      </c>
      <c r="J8" s="153">
        <f>OVERALL!G$13</f>
        <v>0</v>
      </c>
      <c r="K8" s="155">
        <f>OVERALL!G$14</f>
        <v>1</v>
      </c>
      <c r="L8" s="156">
        <f>OVERALL!G$15</f>
        <v>0</v>
      </c>
      <c r="M8" s="146">
        <f>OVERALL!G$17</f>
        <v>0.5625</v>
      </c>
      <c r="N8" s="153">
        <f>OVERALL!G$18</f>
        <v>0.5</v>
      </c>
      <c r="O8" s="155">
        <f>OVERALL!G$19</f>
        <v>0</v>
      </c>
      <c r="P8" s="155">
        <f>OVERALL!G$20</f>
        <v>0.75</v>
      </c>
      <c r="Q8" s="156">
        <f>OVERALL!G$21</f>
        <v>1</v>
      </c>
      <c r="R8" s="147">
        <f>OVERALL!G$23</f>
        <v>0.25</v>
      </c>
      <c r="S8" s="157">
        <f>OVERALL!G$24</f>
        <v>0</v>
      </c>
      <c r="T8" s="154">
        <f>OVERALL!G$25</f>
        <v>0.25</v>
      </c>
      <c r="U8" s="154">
        <f>OVERALL!G$26</f>
        <v>0.5</v>
      </c>
      <c r="V8" s="149">
        <f>OVERALL!G$28</f>
        <v>0.6</v>
      </c>
      <c r="W8" s="157">
        <f>OVERALL!G$29</f>
        <v>1</v>
      </c>
      <c r="X8" s="154">
        <f>OVERALL!G$30</f>
        <v>0.6</v>
      </c>
      <c r="Y8" s="154">
        <f>OVERALL!G$31</f>
        <v>0.2</v>
      </c>
      <c r="Z8" s="154">
        <f>OVERALL!G$32</f>
        <v>0.6</v>
      </c>
      <c r="AA8" s="73"/>
      <c r="AB8" s="155">
        <f>OVERALL!G$34</f>
        <v>0.2</v>
      </c>
      <c r="AC8" s="155">
        <f>OVERALL!$F$35</f>
        <v>0</v>
      </c>
      <c r="AD8" s="155">
        <f>OVERALL!$F$36</f>
        <v>0</v>
      </c>
      <c r="AE8" s="74"/>
      <c r="AF8" s="158">
        <f>OVERALL!G$39</f>
        <v>0.83333333333333337</v>
      </c>
      <c r="AG8" s="275">
        <f>OVERALL!G$40</f>
        <v>3.2962962962962963E-3</v>
      </c>
      <c r="AH8" s="159">
        <f>OVERALL!G$41</f>
        <v>3.4</v>
      </c>
      <c r="AI8" s="155">
        <f>OVERALL!G$42</f>
        <v>0.75</v>
      </c>
      <c r="AJ8" s="155">
        <f>OVERALL!G$43</f>
        <v>0.75</v>
      </c>
      <c r="AK8" s="155">
        <f>OVERALL!G$44</f>
        <v>0.25</v>
      </c>
      <c r="AL8" s="155">
        <f>OVERALL!G$45</f>
        <v>0</v>
      </c>
      <c r="AM8" s="275">
        <f>OVERALL!G71</f>
        <v>7.6732253086419754E-3</v>
      </c>
    </row>
    <row r="9" spans="1:39" ht="24" x14ac:dyDescent="0.2">
      <c r="A9" s="117" t="str">
        <f>OVERALL!H$1</f>
        <v>RED ENERGY</v>
      </c>
      <c r="B9" s="141">
        <f>OVERALL!H3</f>
        <v>0.67870238095238089</v>
      </c>
      <c r="C9" s="142">
        <f>OVERALL!H$4</f>
        <v>0.63666666666666671</v>
      </c>
      <c r="D9" s="143">
        <f>OVERALL!H$6</f>
        <v>0.39999999999999997</v>
      </c>
      <c r="E9" s="71">
        <f>OVERALL!H$7</f>
        <v>1</v>
      </c>
      <c r="F9" s="72">
        <f>OVERALL!H$8</f>
        <v>0.4</v>
      </c>
      <c r="G9" s="82">
        <f>OVERALL!H$9</f>
        <v>0.2</v>
      </c>
      <c r="H9" s="84">
        <f>OVERALL!H$10</f>
        <v>0</v>
      </c>
      <c r="I9" s="144">
        <f>OVERALL!H$12</f>
        <v>0.53333333333333333</v>
      </c>
      <c r="J9" s="82">
        <f>OVERALL!H$13</f>
        <v>0.2</v>
      </c>
      <c r="K9" s="83">
        <f>OVERALL!H$14</f>
        <v>1</v>
      </c>
      <c r="L9" s="145">
        <f>OVERALL!H$15</f>
        <v>0.4</v>
      </c>
      <c r="M9" s="146">
        <f>OVERALL!H$17</f>
        <v>0.8</v>
      </c>
      <c r="N9" s="82">
        <f>OVERALL!H$18</f>
        <v>1</v>
      </c>
      <c r="O9" s="83">
        <f>OVERALL!H$19</f>
        <v>0.2</v>
      </c>
      <c r="P9" s="83">
        <f>OVERALL!H$20</f>
        <v>1</v>
      </c>
      <c r="Q9" s="145">
        <f>OVERALL!H$21</f>
        <v>1</v>
      </c>
      <c r="R9" s="147">
        <f>OVERALL!H$23</f>
        <v>0.53333333333333333</v>
      </c>
      <c r="S9" s="148">
        <f>OVERALL!H$24</f>
        <v>0.2</v>
      </c>
      <c r="T9" s="84">
        <f>OVERALL!H$25</f>
        <v>0.4</v>
      </c>
      <c r="U9" s="84">
        <f>OVERALL!H$26</f>
        <v>1</v>
      </c>
      <c r="V9" s="149">
        <f>OVERALL!H$28</f>
        <v>0.85</v>
      </c>
      <c r="W9" s="148">
        <f>OVERALL!H$29</f>
        <v>1</v>
      </c>
      <c r="X9" s="84">
        <f>OVERALL!H$30</f>
        <v>1</v>
      </c>
      <c r="Y9" s="84">
        <f>OVERALL!H$31</f>
        <v>0.8</v>
      </c>
      <c r="Z9" s="84">
        <f>OVERALL!H$32</f>
        <v>0.6</v>
      </c>
      <c r="AA9" s="73"/>
      <c r="AB9" s="83">
        <f>OVERALL!H$34</f>
        <v>0</v>
      </c>
      <c r="AC9" s="83">
        <f>OVERALL!$K$35</f>
        <v>0</v>
      </c>
      <c r="AD9" s="83">
        <f>OVERALL!$K$36</f>
        <v>0</v>
      </c>
      <c r="AE9" s="74"/>
      <c r="AF9" s="85">
        <f>OVERALL!H$39</f>
        <v>0.83333333333333337</v>
      </c>
      <c r="AG9" s="274">
        <f>OVERALL!H$40</f>
        <v>6.3541666666666659E-3</v>
      </c>
      <c r="AH9" s="86">
        <f>OVERALL!H$41</f>
        <v>6</v>
      </c>
      <c r="AI9" s="83">
        <f>OVERALL!H$42</f>
        <v>1</v>
      </c>
      <c r="AJ9" s="83">
        <f>OVERALL!H$43</f>
        <v>1</v>
      </c>
      <c r="AK9" s="83">
        <f>OVERALL!H$44</f>
        <v>1</v>
      </c>
      <c r="AL9" s="83">
        <f>OVERALL!H$45</f>
        <v>0</v>
      </c>
      <c r="AM9" s="274">
        <f>OVERALL!H71</f>
        <v>9.5158179012345672E-3</v>
      </c>
    </row>
    <row r="10" spans="1:39" ht="24" x14ac:dyDescent="0.2">
      <c r="A10" s="117" t="str">
        <f>OVERALL!I$1</f>
        <v>ENGIE</v>
      </c>
      <c r="B10" s="141">
        <f>OVERALL!I3</f>
        <v>0.71954861111111112</v>
      </c>
      <c r="C10" s="150">
        <f>OVERALL!I$4</f>
        <v>0.61944444444444446</v>
      </c>
      <c r="D10" s="143">
        <f>OVERALL!I$6</f>
        <v>0.625</v>
      </c>
      <c r="E10" s="151">
        <f>OVERALL!I$7</f>
        <v>1</v>
      </c>
      <c r="F10" s="152">
        <f>OVERALL!I$8</f>
        <v>0.83333333333333337</v>
      </c>
      <c r="G10" s="153">
        <f>OVERALL!I$9</f>
        <v>0.66666666666666663</v>
      </c>
      <c r="H10" s="154">
        <f>OVERALL!I$10</f>
        <v>0</v>
      </c>
      <c r="I10" s="144">
        <f>OVERALL!I$12</f>
        <v>0.55555555555555558</v>
      </c>
      <c r="J10" s="153">
        <f>OVERALL!I$13</f>
        <v>0</v>
      </c>
      <c r="K10" s="155">
        <f>OVERALL!I$14</f>
        <v>0.83333333333333337</v>
      </c>
      <c r="L10" s="156">
        <f>OVERALL!I$15</f>
        <v>0.83333333333333337</v>
      </c>
      <c r="M10" s="146">
        <f>OVERALL!I$17</f>
        <v>0.66666666666666663</v>
      </c>
      <c r="N10" s="153">
        <f>OVERALL!I$18</f>
        <v>0.5</v>
      </c>
      <c r="O10" s="155">
        <f>OVERALL!I$19</f>
        <v>0.16666666666666666</v>
      </c>
      <c r="P10" s="155">
        <f>OVERALL!I$20</f>
        <v>1</v>
      </c>
      <c r="Q10" s="156">
        <f>OVERALL!I$21</f>
        <v>1</v>
      </c>
      <c r="R10" s="147">
        <f>OVERALL!I$23</f>
        <v>0.55555555555555547</v>
      </c>
      <c r="S10" s="157">
        <f>OVERALL!I$24</f>
        <v>0.5</v>
      </c>
      <c r="T10" s="154">
        <f>OVERALL!I$25</f>
        <v>0.16666666666666666</v>
      </c>
      <c r="U10" s="154">
        <f>OVERALL!I$26</f>
        <v>1</v>
      </c>
      <c r="V10" s="149">
        <f>OVERALL!I$28</f>
        <v>0.66666666666666663</v>
      </c>
      <c r="W10" s="157">
        <f>OVERALL!I$29</f>
        <v>1</v>
      </c>
      <c r="X10" s="154">
        <f>OVERALL!I$30</f>
        <v>0.66666666666666663</v>
      </c>
      <c r="Y10" s="154">
        <f>OVERALL!I$31</f>
        <v>0.5</v>
      </c>
      <c r="Z10" s="154">
        <f>OVERALL!I$32</f>
        <v>0.5</v>
      </c>
      <c r="AA10" s="73"/>
      <c r="AB10" s="155">
        <f>OVERALL!I$34</f>
        <v>0</v>
      </c>
      <c r="AC10" s="155">
        <f>OVERALL!$L$35</f>
        <v>0</v>
      </c>
      <c r="AD10" s="155">
        <f>OVERALL!$L$36</f>
        <v>0</v>
      </c>
      <c r="AE10" s="74"/>
      <c r="AF10" s="158">
        <f>OVERALL!I$39</f>
        <v>1</v>
      </c>
      <c r="AG10" s="275">
        <f>OVERALL!I$40</f>
        <v>8.6458333333333335E-3</v>
      </c>
      <c r="AH10" s="159">
        <f>OVERALL!I$41</f>
        <v>5.833333333333333</v>
      </c>
      <c r="AI10" s="155">
        <f>OVERALL!I$42</f>
        <v>1</v>
      </c>
      <c r="AJ10" s="155">
        <f>OVERALL!I$43</f>
        <v>1</v>
      </c>
      <c r="AK10" s="155">
        <f>OVERALL!I$44</f>
        <v>1</v>
      </c>
      <c r="AL10" s="155">
        <f>OVERALL!I$45</f>
        <v>0</v>
      </c>
      <c r="AM10" s="275">
        <f>OVERALL!I71</f>
        <v>9.2727623456790118E-3</v>
      </c>
    </row>
    <row r="11" spans="1:39" ht="24" x14ac:dyDescent="0.2">
      <c r="A11" s="117" t="str">
        <f>OVERALL!J$1</f>
        <v>MOMENTUM</v>
      </c>
      <c r="B11" s="141">
        <f>OVERALL!J3</f>
        <v>0.50733035714285712</v>
      </c>
      <c r="C11" s="150">
        <f>OVERALL!J$4</f>
        <v>0.5</v>
      </c>
      <c r="D11" s="143">
        <f>OVERALL!J$6</f>
        <v>0.35000000000000003</v>
      </c>
      <c r="E11" s="151">
        <f>OVERALL!J$7</f>
        <v>0.6</v>
      </c>
      <c r="F11" s="152">
        <f>OVERALL!J$8</f>
        <v>0.2</v>
      </c>
      <c r="G11" s="153">
        <f>OVERALL!J$9</f>
        <v>0.4</v>
      </c>
      <c r="H11" s="154">
        <f>OVERALL!J$10</f>
        <v>0.2</v>
      </c>
      <c r="I11" s="144">
        <f>OVERALL!J$12</f>
        <v>0.33333333333333331</v>
      </c>
      <c r="J11" s="153">
        <f>OVERALL!J$13</f>
        <v>0</v>
      </c>
      <c r="K11" s="155">
        <f>OVERALL!J$14</f>
        <v>1</v>
      </c>
      <c r="L11" s="156">
        <f>OVERALL!J$15</f>
        <v>0</v>
      </c>
      <c r="M11" s="146">
        <f>OVERALL!J$17</f>
        <v>0.75</v>
      </c>
      <c r="N11" s="153">
        <f>OVERALL!J$18</f>
        <v>1</v>
      </c>
      <c r="O11" s="155">
        <f>OVERALL!J$19</f>
        <v>0</v>
      </c>
      <c r="P11" s="155">
        <f>OVERALL!J$20</f>
        <v>1</v>
      </c>
      <c r="Q11" s="156">
        <f>OVERALL!J$21</f>
        <v>1</v>
      </c>
      <c r="R11" s="147">
        <f>OVERALL!J$23</f>
        <v>0.5</v>
      </c>
      <c r="S11" s="157">
        <f>OVERALL!J$24</f>
        <v>0.25</v>
      </c>
      <c r="T11" s="154">
        <f>OVERALL!J$25</f>
        <v>0.25</v>
      </c>
      <c r="U11" s="154">
        <f>OVERALL!J$26</f>
        <v>1</v>
      </c>
      <c r="V11" s="149">
        <f>OVERALL!J$28</f>
        <v>0.6</v>
      </c>
      <c r="W11" s="157">
        <f>OVERALL!J$29</f>
        <v>0.8</v>
      </c>
      <c r="X11" s="154">
        <f>OVERALL!J$30</f>
        <v>0.6</v>
      </c>
      <c r="Y11" s="154">
        <f>OVERALL!J$31</f>
        <v>0.6</v>
      </c>
      <c r="Z11" s="154">
        <f>OVERALL!J$32</f>
        <v>0.4</v>
      </c>
      <c r="AA11" s="73"/>
      <c r="AB11" s="155">
        <f>OVERALL!J$34</f>
        <v>0</v>
      </c>
      <c r="AC11" s="155">
        <f>OVERALL!$L$35</f>
        <v>0</v>
      </c>
      <c r="AD11" s="155">
        <f>OVERALL!$L$36</f>
        <v>0</v>
      </c>
      <c r="AE11" s="74"/>
      <c r="AF11" s="158">
        <f>OVERALL!J$39</f>
        <v>0.83333333333333337</v>
      </c>
      <c r="AG11" s="275">
        <f>OVERALL!J$40</f>
        <v>4.9652777777777777E-3</v>
      </c>
      <c r="AH11" s="159">
        <f>OVERALL!J$41</f>
        <v>4.8</v>
      </c>
      <c r="AI11" s="155">
        <f>OVERALL!J$42</f>
        <v>1</v>
      </c>
      <c r="AJ11" s="155">
        <f>OVERALL!J$43</f>
        <v>1</v>
      </c>
      <c r="AK11" s="155">
        <f>OVERALL!J$44</f>
        <v>1</v>
      </c>
      <c r="AL11" s="155">
        <f>OVERALL!J$45</f>
        <v>0</v>
      </c>
      <c r="AM11" s="275">
        <f>OVERALL!J71</f>
        <v>7.5752314814814814E-3</v>
      </c>
    </row>
    <row r="12" spans="1:39" ht="24" x14ac:dyDescent="0.2">
      <c r="A12" s="117" t="str">
        <f>OVERALL!K$1</f>
        <v>ENERGY 8</v>
      </c>
      <c r="B12" s="141" t="s">
        <v>78</v>
      </c>
      <c r="C12" s="150" t="s">
        <v>78</v>
      </c>
      <c r="D12" s="143" t="s">
        <v>78</v>
      </c>
      <c r="E12" s="151" t="s">
        <v>78</v>
      </c>
      <c r="F12" s="152" t="s">
        <v>78</v>
      </c>
      <c r="G12" s="153" t="s">
        <v>78</v>
      </c>
      <c r="H12" s="154" t="s">
        <v>78</v>
      </c>
      <c r="I12" s="144" t="s">
        <v>78</v>
      </c>
      <c r="J12" s="153" t="s">
        <v>78</v>
      </c>
      <c r="K12" s="155" t="s">
        <v>78</v>
      </c>
      <c r="L12" s="156" t="s">
        <v>78</v>
      </c>
      <c r="M12" s="146" t="s">
        <v>78</v>
      </c>
      <c r="N12" s="153" t="s">
        <v>78</v>
      </c>
      <c r="O12" s="155" t="s">
        <v>78</v>
      </c>
      <c r="P12" s="155" t="s">
        <v>78</v>
      </c>
      <c r="Q12" s="156" t="s">
        <v>78</v>
      </c>
      <c r="R12" s="147" t="s">
        <v>78</v>
      </c>
      <c r="S12" s="157" t="s">
        <v>78</v>
      </c>
      <c r="T12" s="154" t="s">
        <v>78</v>
      </c>
      <c r="U12" s="154" t="s">
        <v>78</v>
      </c>
      <c r="V12" s="149" t="s">
        <v>78</v>
      </c>
      <c r="W12" s="157" t="s">
        <v>78</v>
      </c>
      <c r="X12" s="154" t="s">
        <v>78</v>
      </c>
      <c r="Y12" s="154" t="s">
        <v>78</v>
      </c>
      <c r="Z12" s="154" t="s">
        <v>78</v>
      </c>
      <c r="AA12" s="73" t="s">
        <v>78</v>
      </c>
      <c r="AB12" s="155" t="s">
        <v>78</v>
      </c>
      <c r="AC12" s="155" t="s">
        <v>78</v>
      </c>
      <c r="AD12" s="155" t="s">
        <v>78</v>
      </c>
      <c r="AE12" s="74"/>
      <c r="AF12" s="158" t="s">
        <v>78</v>
      </c>
      <c r="AG12" s="276" t="s">
        <v>78</v>
      </c>
      <c r="AH12" s="159" t="s">
        <v>78</v>
      </c>
      <c r="AI12" s="155" t="s">
        <v>78</v>
      </c>
      <c r="AJ12" s="155" t="s">
        <v>78</v>
      </c>
      <c r="AK12" s="155" t="s">
        <v>78</v>
      </c>
      <c r="AL12" s="155" t="s">
        <v>78</v>
      </c>
      <c r="AM12" s="276" t="s">
        <v>78</v>
      </c>
    </row>
    <row r="13" spans="1:39" ht="24" x14ac:dyDescent="0.2">
      <c r="A13" s="117" t="str">
        <f>OVERALL!L$1</f>
        <v>ENERGY 9</v>
      </c>
      <c r="B13" s="141" t="s">
        <v>78</v>
      </c>
      <c r="C13" s="150" t="s">
        <v>78</v>
      </c>
      <c r="D13" s="143" t="s">
        <v>78</v>
      </c>
      <c r="E13" s="151" t="s">
        <v>78</v>
      </c>
      <c r="F13" s="152" t="s">
        <v>78</v>
      </c>
      <c r="G13" s="153" t="s">
        <v>78</v>
      </c>
      <c r="H13" s="154" t="s">
        <v>78</v>
      </c>
      <c r="I13" s="144" t="s">
        <v>78</v>
      </c>
      <c r="J13" s="153" t="s">
        <v>78</v>
      </c>
      <c r="K13" s="155" t="s">
        <v>78</v>
      </c>
      <c r="L13" s="156" t="s">
        <v>78</v>
      </c>
      <c r="M13" s="146" t="s">
        <v>78</v>
      </c>
      <c r="N13" s="153" t="s">
        <v>78</v>
      </c>
      <c r="O13" s="155" t="s">
        <v>78</v>
      </c>
      <c r="P13" s="155" t="s">
        <v>78</v>
      </c>
      <c r="Q13" s="156" t="s">
        <v>78</v>
      </c>
      <c r="R13" s="147" t="s">
        <v>78</v>
      </c>
      <c r="S13" s="157" t="s">
        <v>78</v>
      </c>
      <c r="T13" s="154" t="s">
        <v>78</v>
      </c>
      <c r="U13" s="154" t="s">
        <v>78</v>
      </c>
      <c r="V13" s="149" t="s">
        <v>78</v>
      </c>
      <c r="W13" s="157" t="s">
        <v>78</v>
      </c>
      <c r="X13" s="154" t="s">
        <v>78</v>
      </c>
      <c r="Y13" s="154" t="s">
        <v>78</v>
      </c>
      <c r="Z13" s="154" t="s">
        <v>78</v>
      </c>
      <c r="AA13" s="73" t="s">
        <v>78</v>
      </c>
      <c r="AB13" s="155" t="s">
        <v>78</v>
      </c>
      <c r="AC13" s="155" t="s">
        <v>78</v>
      </c>
      <c r="AD13" s="155" t="s">
        <v>78</v>
      </c>
      <c r="AE13" s="74"/>
      <c r="AF13" s="158" t="s">
        <v>78</v>
      </c>
      <c r="AG13" s="276" t="s">
        <v>78</v>
      </c>
      <c r="AH13" s="159" t="s">
        <v>78</v>
      </c>
      <c r="AI13" s="155" t="s">
        <v>78</v>
      </c>
      <c r="AJ13" s="155" t="s">
        <v>78</v>
      </c>
      <c r="AK13" s="155" t="s">
        <v>78</v>
      </c>
      <c r="AL13" s="155" t="s">
        <v>78</v>
      </c>
      <c r="AM13" s="276" t="s">
        <v>78</v>
      </c>
    </row>
    <row r="14" spans="1:39" ht="24" x14ac:dyDescent="0.2">
      <c r="A14" s="117" t="str">
        <f>OVERALL!M$1</f>
        <v>ENERGY 10</v>
      </c>
      <c r="B14" s="141" t="s">
        <v>78</v>
      </c>
      <c r="C14" s="150" t="s">
        <v>78</v>
      </c>
      <c r="D14" s="143" t="s">
        <v>78</v>
      </c>
      <c r="E14" s="151" t="s">
        <v>78</v>
      </c>
      <c r="F14" s="152" t="s">
        <v>78</v>
      </c>
      <c r="G14" s="153" t="s">
        <v>78</v>
      </c>
      <c r="H14" s="154" t="s">
        <v>78</v>
      </c>
      <c r="I14" s="144" t="s">
        <v>78</v>
      </c>
      <c r="J14" s="153" t="s">
        <v>78</v>
      </c>
      <c r="K14" s="155" t="s">
        <v>78</v>
      </c>
      <c r="L14" s="156" t="s">
        <v>78</v>
      </c>
      <c r="M14" s="146" t="s">
        <v>78</v>
      </c>
      <c r="N14" s="153" t="s">
        <v>78</v>
      </c>
      <c r="O14" s="155" t="s">
        <v>78</v>
      </c>
      <c r="P14" s="155" t="s">
        <v>78</v>
      </c>
      <c r="Q14" s="156" t="s">
        <v>78</v>
      </c>
      <c r="R14" s="147" t="s">
        <v>78</v>
      </c>
      <c r="S14" s="157" t="s">
        <v>78</v>
      </c>
      <c r="T14" s="154" t="s">
        <v>78</v>
      </c>
      <c r="U14" s="154" t="s">
        <v>78</v>
      </c>
      <c r="V14" s="149" t="s">
        <v>78</v>
      </c>
      <c r="W14" s="157" t="s">
        <v>78</v>
      </c>
      <c r="X14" s="154" t="s">
        <v>78</v>
      </c>
      <c r="Y14" s="154" t="s">
        <v>78</v>
      </c>
      <c r="Z14" s="154" t="s">
        <v>78</v>
      </c>
      <c r="AA14" s="73" t="s">
        <v>78</v>
      </c>
      <c r="AB14" s="155" t="s">
        <v>78</v>
      </c>
      <c r="AC14" s="155" t="s">
        <v>78</v>
      </c>
      <c r="AD14" s="155" t="s">
        <v>78</v>
      </c>
      <c r="AE14" s="74"/>
      <c r="AF14" s="158" t="s">
        <v>78</v>
      </c>
      <c r="AG14" s="276" t="s">
        <v>78</v>
      </c>
      <c r="AH14" s="159" t="s">
        <v>78</v>
      </c>
      <c r="AI14" s="155" t="s">
        <v>78</v>
      </c>
      <c r="AJ14" s="155" t="s">
        <v>78</v>
      </c>
      <c r="AK14" s="155" t="s">
        <v>78</v>
      </c>
      <c r="AL14" s="155" t="s">
        <v>78</v>
      </c>
      <c r="AM14" s="276" t="s">
        <v>78</v>
      </c>
    </row>
    <row r="15" spans="1:39" ht="24" x14ac:dyDescent="0.2">
      <c r="A15" s="117" t="str">
        <f>OVERALL!N$1</f>
        <v>ENERGY 11</v>
      </c>
      <c r="B15" s="141" t="s">
        <v>78</v>
      </c>
      <c r="C15" s="142" t="s">
        <v>78</v>
      </c>
      <c r="D15" s="143" t="s">
        <v>78</v>
      </c>
      <c r="E15" s="71" t="s">
        <v>78</v>
      </c>
      <c r="F15" s="72" t="s">
        <v>78</v>
      </c>
      <c r="G15" s="82" t="s">
        <v>78</v>
      </c>
      <c r="H15" s="84" t="s">
        <v>78</v>
      </c>
      <c r="I15" s="144" t="s">
        <v>78</v>
      </c>
      <c r="J15" s="82" t="s">
        <v>78</v>
      </c>
      <c r="K15" s="83" t="s">
        <v>78</v>
      </c>
      <c r="L15" s="145" t="s">
        <v>78</v>
      </c>
      <c r="M15" s="146" t="s">
        <v>78</v>
      </c>
      <c r="N15" s="82" t="s">
        <v>78</v>
      </c>
      <c r="O15" s="83" t="s">
        <v>78</v>
      </c>
      <c r="P15" s="83" t="s">
        <v>78</v>
      </c>
      <c r="Q15" s="145" t="s">
        <v>78</v>
      </c>
      <c r="R15" s="147" t="s">
        <v>78</v>
      </c>
      <c r="S15" s="148" t="s">
        <v>78</v>
      </c>
      <c r="T15" s="84" t="s">
        <v>78</v>
      </c>
      <c r="U15" s="84" t="s">
        <v>78</v>
      </c>
      <c r="V15" s="149" t="s">
        <v>78</v>
      </c>
      <c r="W15" s="148" t="s">
        <v>78</v>
      </c>
      <c r="X15" s="84" t="s">
        <v>78</v>
      </c>
      <c r="Y15" s="84" t="s">
        <v>78</v>
      </c>
      <c r="Z15" s="84" t="s">
        <v>78</v>
      </c>
      <c r="AA15" s="73" t="s">
        <v>78</v>
      </c>
      <c r="AB15" s="83" t="s">
        <v>78</v>
      </c>
      <c r="AC15" s="83" t="s">
        <v>78</v>
      </c>
      <c r="AD15" s="83" t="s">
        <v>78</v>
      </c>
      <c r="AE15" s="74"/>
      <c r="AF15" s="85" t="s">
        <v>78</v>
      </c>
      <c r="AG15" s="277" t="s">
        <v>78</v>
      </c>
      <c r="AH15" s="86" t="s">
        <v>78</v>
      </c>
      <c r="AI15" s="83" t="s">
        <v>78</v>
      </c>
      <c r="AJ15" s="83" t="s">
        <v>78</v>
      </c>
      <c r="AK15" s="83" t="s">
        <v>78</v>
      </c>
      <c r="AL15" s="83" t="s">
        <v>78</v>
      </c>
      <c r="AM15" s="277" t="s">
        <v>78</v>
      </c>
    </row>
    <row r="16" spans="1:39" ht="24" x14ac:dyDescent="0.2">
      <c r="A16" s="117" t="str">
        <f>OVERALL!O$1</f>
        <v>ENERGY 12</v>
      </c>
      <c r="B16" s="141" t="s">
        <v>78</v>
      </c>
      <c r="C16" s="150" t="s">
        <v>78</v>
      </c>
      <c r="D16" s="143" t="s">
        <v>78</v>
      </c>
      <c r="E16" s="151" t="s">
        <v>78</v>
      </c>
      <c r="F16" s="152" t="s">
        <v>78</v>
      </c>
      <c r="G16" s="153" t="s">
        <v>78</v>
      </c>
      <c r="H16" s="154" t="s">
        <v>78</v>
      </c>
      <c r="I16" s="144" t="s">
        <v>78</v>
      </c>
      <c r="J16" s="153" t="s">
        <v>78</v>
      </c>
      <c r="K16" s="155" t="s">
        <v>78</v>
      </c>
      <c r="L16" s="156" t="s">
        <v>78</v>
      </c>
      <c r="M16" s="146" t="s">
        <v>78</v>
      </c>
      <c r="N16" s="153" t="s">
        <v>78</v>
      </c>
      <c r="O16" s="155" t="s">
        <v>78</v>
      </c>
      <c r="P16" s="155" t="s">
        <v>78</v>
      </c>
      <c r="Q16" s="156" t="s">
        <v>78</v>
      </c>
      <c r="R16" s="147" t="s">
        <v>78</v>
      </c>
      <c r="S16" s="157" t="s">
        <v>78</v>
      </c>
      <c r="T16" s="154" t="s">
        <v>78</v>
      </c>
      <c r="U16" s="154" t="s">
        <v>78</v>
      </c>
      <c r="V16" s="149" t="s">
        <v>78</v>
      </c>
      <c r="W16" s="157" t="s">
        <v>78</v>
      </c>
      <c r="X16" s="154" t="s">
        <v>78</v>
      </c>
      <c r="Y16" s="154" t="s">
        <v>78</v>
      </c>
      <c r="Z16" s="154" t="s">
        <v>78</v>
      </c>
      <c r="AA16" s="73" t="s">
        <v>78</v>
      </c>
      <c r="AB16" s="155" t="s">
        <v>78</v>
      </c>
      <c r="AC16" s="155" t="s">
        <v>78</v>
      </c>
      <c r="AD16" s="155" t="s">
        <v>78</v>
      </c>
      <c r="AE16" s="74"/>
      <c r="AF16" s="158" t="s">
        <v>78</v>
      </c>
      <c r="AG16" s="276" t="s">
        <v>78</v>
      </c>
      <c r="AH16" s="159" t="s">
        <v>78</v>
      </c>
      <c r="AI16" s="155" t="s">
        <v>78</v>
      </c>
      <c r="AJ16" s="155" t="s">
        <v>78</v>
      </c>
      <c r="AK16" s="155" t="s">
        <v>78</v>
      </c>
      <c r="AL16" s="155" t="s">
        <v>78</v>
      </c>
      <c r="AM16" s="276" t="s">
        <v>78</v>
      </c>
    </row>
    <row r="17" spans="1:39" ht="24" x14ac:dyDescent="0.2">
      <c r="A17" s="117" t="str">
        <f>OVERALL!P$1</f>
        <v>ENERGY 13</v>
      </c>
      <c r="B17" s="141" t="s">
        <v>78</v>
      </c>
      <c r="C17" s="142" t="s">
        <v>78</v>
      </c>
      <c r="D17" s="143" t="s">
        <v>78</v>
      </c>
      <c r="E17" s="71" t="s">
        <v>78</v>
      </c>
      <c r="F17" s="72" t="s">
        <v>78</v>
      </c>
      <c r="G17" s="82" t="s">
        <v>78</v>
      </c>
      <c r="H17" s="84" t="s">
        <v>78</v>
      </c>
      <c r="I17" s="144" t="s">
        <v>78</v>
      </c>
      <c r="J17" s="82" t="s">
        <v>78</v>
      </c>
      <c r="K17" s="83" t="s">
        <v>78</v>
      </c>
      <c r="L17" s="145" t="s">
        <v>78</v>
      </c>
      <c r="M17" s="146" t="s">
        <v>78</v>
      </c>
      <c r="N17" s="82" t="s">
        <v>78</v>
      </c>
      <c r="O17" s="83" t="s">
        <v>78</v>
      </c>
      <c r="P17" s="83" t="s">
        <v>78</v>
      </c>
      <c r="Q17" s="145" t="s">
        <v>78</v>
      </c>
      <c r="R17" s="147" t="s">
        <v>78</v>
      </c>
      <c r="S17" s="148" t="s">
        <v>78</v>
      </c>
      <c r="T17" s="84" t="s">
        <v>78</v>
      </c>
      <c r="U17" s="84" t="s">
        <v>78</v>
      </c>
      <c r="V17" s="149" t="s">
        <v>78</v>
      </c>
      <c r="W17" s="148" t="s">
        <v>78</v>
      </c>
      <c r="X17" s="84" t="s">
        <v>78</v>
      </c>
      <c r="Y17" s="84" t="s">
        <v>78</v>
      </c>
      <c r="Z17" s="84" t="s">
        <v>78</v>
      </c>
      <c r="AA17" s="73" t="s">
        <v>78</v>
      </c>
      <c r="AB17" s="83" t="s">
        <v>78</v>
      </c>
      <c r="AC17" s="83" t="s">
        <v>78</v>
      </c>
      <c r="AD17" s="83" t="s">
        <v>78</v>
      </c>
      <c r="AE17" s="74"/>
      <c r="AF17" s="85" t="s">
        <v>78</v>
      </c>
      <c r="AG17" s="277" t="s">
        <v>78</v>
      </c>
      <c r="AH17" s="86" t="s">
        <v>78</v>
      </c>
      <c r="AI17" s="83" t="s">
        <v>78</v>
      </c>
      <c r="AJ17" s="83" t="s">
        <v>78</v>
      </c>
      <c r="AK17" s="83" t="s">
        <v>78</v>
      </c>
      <c r="AL17" s="83" t="s">
        <v>78</v>
      </c>
      <c r="AM17" s="277" t="s">
        <v>78</v>
      </c>
    </row>
    <row r="18" spans="1:39" ht="24" x14ac:dyDescent="0.2">
      <c r="A18" s="117" t="str">
        <f>OVERALL!Q$1</f>
        <v>ENERGY 14</v>
      </c>
      <c r="B18" s="141" t="s">
        <v>78</v>
      </c>
      <c r="C18" s="150" t="s">
        <v>78</v>
      </c>
      <c r="D18" s="143" t="s">
        <v>78</v>
      </c>
      <c r="E18" s="151" t="s">
        <v>78</v>
      </c>
      <c r="F18" s="152" t="s">
        <v>78</v>
      </c>
      <c r="G18" s="153" t="s">
        <v>78</v>
      </c>
      <c r="H18" s="154" t="s">
        <v>78</v>
      </c>
      <c r="I18" s="144" t="s">
        <v>78</v>
      </c>
      <c r="J18" s="153" t="s">
        <v>78</v>
      </c>
      <c r="K18" s="155" t="s">
        <v>78</v>
      </c>
      <c r="L18" s="156" t="s">
        <v>78</v>
      </c>
      <c r="M18" s="146" t="s">
        <v>78</v>
      </c>
      <c r="N18" s="153" t="s">
        <v>78</v>
      </c>
      <c r="O18" s="155" t="s">
        <v>78</v>
      </c>
      <c r="P18" s="155" t="s">
        <v>78</v>
      </c>
      <c r="Q18" s="156" t="s">
        <v>78</v>
      </c>
      <c r="R18" s="147" t="s">
        <v>78</v>
      </c>
      <c r="S18" s="157" t="s">
        <v>78</v>
      </c>
      <c r="T18" s="154" t="s">
        <v>78</v>
      </c>
      <c r="U18" s="154" t="s">
        <v>78</v>
      </c>
      <c r="V18" s="149" t="s">
        <v>78</v>
      </c>
      <c r="W18" s="157" t="s">
        <v>78</v>
      </c>
      <c r="X18" s="154" t="s">
        <v>78</v>
      </c>
      <c r="Y18" s="154" t="s">
        <v>78</v>
      </c>
      <c r="Z18" s="154" t="s">
        <v>78</v>
      </c>
      <c r="AA18" s="73" t="s">
        <v>78</v>
      </c>
      <c r="AB18" s="155" t="s">
        <v>78</v>
      </c>
      <c r="AC18" s="155" t="s">
        <v>78</v>
      </c>
      <c r="AD18" s="155" t="s">
        <v>78</v>
      </c>
      <c r="AE18" s="74"/>
      <c r="AF18" s="158" t="s">
        <v>78</v>
      </c>
      <c r="AG18" s="276" t="s">
        <v>78</v>
      </c>
      <c r="AH18" s="159" t="s">
        <v>78</v>
      </c>
      <c r="AI18" s="155" t="s">
        <v>78</v>
      </c>
      <c r="AJ18" s="155" t="s">
        <v>78</v>
      </c>
      <c r="AK18" s="155" t="s">
        <v>78</v>
      </c>
      <c r="AL18" s="155" t="s">
        <v>78</v>
      </c>
      <c r="AM18" s="276" t="s">
        <v>78</v>
      </c>
    </row>
    <row r="19" spans="1:39" ht="24" x14ac:dyDescent="0.2">
      <c r="A19" s="117" t="str">
        <f>OVERALL!R$1</f>
        <v>ENERGY 15</v>
      </c>
      <c r="B19" s="141" t="s">
        <v>78</v>
      </c>
      <c r="C19" s="142" t="s">
        <v>78</v>
      </c>
      <c r="D19" s="143" t="s">
        <v>78</v>
      </c>
      <c r="E19" s="71" t="s">
        <v>78</v>
      </c>
      <c r="F19" s="72" t="s">
        <v>78</v>
      </c>
      <c r="G19" s="82" t="s">
        <v>78</v>
      </c>
      <c r="H19" s="84" t="s">
        <v>78</v>
      </c>
      <c r="I19" s="144" t="s">
        <v>78</v>
      </c>
      <c r="J19" s="82" t="s">
        <v>78</v>
      </c>
      <c r="K19" s="83" t="s">
        <v>78</v>
      </c>
      <c r="L19" s="145" t="s">
        <v>78</v>
      </c>
      <c r="M19" s="146" t="s">
        <v>78</v>
      </c>
      <c r="N19" s="82" t="s">
        <v>78</v>
      </c>
      <c r="O19" s="83" t="s">
        <v>78</v>
      </c>
      <c r="P19" s="83" t="s">
        <v>78</v>
      </c>
      <c r="Q19" s="145" t="s">
        <v>78</v>
      </c>
      <c r="R19" s="147" t="s">
        <v>78</v>
      </c>
      <c r="S19" s="148" t="s">
        <v>78</v>
      </c>
      <c r="T19" s="84" t="s">
        <v>78</v>
      </c>
      <c r="U19" s="84" t="s">
        <v>78</v>
      </c>
      <c r="V19" s="149" t="s">
        <v>78</v>
      </c>
      <c r="W19" s="148" t="s">
        <v>78</v>
      </c>
      <c r="X19" s="84" t="s">
        <v>78</v>
      </c>
      <c r="Y19" s="84" t="s">
        <v>78</v>
      </c>
      <c r="Z19" s="84" t="s">
        <v>78</v>
      </c>
      <c r="AA19" s="73" t="s">
        <v>78</v>
      </c>
      <c r="AB19" s="83" t="s">
        <v>78</v>
      </c>
      <c r="AC19" s="83" t="s">
        <v>78</v>
      </c>
      <c r="AD19" s="83" t="s">
        <v>78</v>
      </c>
      <c r="AE19" s="74"/>
      <c r="AF19" s="85" t="s">
        <v>78</v>
      </c>
      <c r="AG19" s="277" t="s">
        <v>78</v>
      </c>
      <c r="AH19" s="86" t="s">
        <v>78</v>
      </c>
      <c r="AI19" s="83" t="s">
        <v>78</v>
      </c>
      <c r="AJ19" s="83" t="s">
        <v>78</v>
      </c>
      <c r="AK19" s="83" t="s">
        <v>78</v>
      </c>
      <c r="AL19" s="83" t="s">
        <v>78</v>
      </c>
      <c r="AM19" s="277" t="s">
        <v>78</v>
      </c>
    </row>
    <row r="20" spans="1:39" ht="24" x14ac:dyDescent="0.2">
      <c r="A20" s="117" t="str">
        <f>OVERALL!S$1</f>
        <v>ENERGY 16</v>
      </c>
      <c r="B20" s="141" t="s">
        <v>78</v>
      </c>
      <c r="C20" s="150" t="s">
        <v>78</v>
      </c>
      <c r="D20" s="143" t="s">
        <v>78</v>
      </c>
      <c r="E20" s="151" t="s">
        <v>78</v>
      </c>
      <c r="F20" s="152" t="s">
        <v>78</v>
      </c>
      <c r="G20" s="153" t="s">
        <v>78</v>
      </c>
      <c r="H20" s="154" t="s">
        <v>78</v>
      </c>
      <c r="I20" s="144" t="s">
        <v>78</v>
      </c>
      <c r="J20" s="153" t="s">
        <v>78</v>
      </c>
      <c r="K20" s="155" t="s">
        <v>78</v>
      </c>
      <c r="L20" s="156" t="s">
        <v>78</v>
      </c>
      <c r="M20" s="146" t="s">
        <v>78</v>
      </c>
      <c r="N20" s="153" t="s">
        <v>78</v>
      </c>
      <c r="O20" s="155" t="s">
        <v>78</v>
      </c>
      <c r="P20" s="155" t="s">
        <v>78</v>
      </c>
      <c r="Q20" s="156" t="s">
        <v>78</v>
      </c>
      <c r="R20" s="147" t="s">
        <v>78</v>
      </c>
      <c r="S20" s="157" t="s">
        <v>78</v>
      </c>
      <c r="T20" s="154" t="s">
        <v>78</v>
      </c>
      <c r="U20" s="154" t="s">
        <v>78</v>
      </c>
      <c r="V20" s="149" t="s">
        <v>78</v>
      </c>
      <c r="W20" s="157" t="s">
        <v>78</v>
      </c>
      <c r="X20" s="154" t="s">
        <v>78</v>
      </c>
      <c r="Y20" s="154" t="s">
        <v>78</v>
      </c>
      <c r="Z20" s="154" t="s">
        <v>78</v>
      </c>
      <c r="AA20" s="73" t="s">
        <v>78</v>
      </c>
      <c r="AB20" s="155" t="s">
        <v>78</v>
      </c>
      <c r="AC20" s="155" t="s">
        <v>78</v>
      </c>
      <c r="AD20" s="155" t="s">
        <v>78</v>
      </c>
      <c r="AE20" s="74"/>
      <c r="AF20" s="158" t="s">
        <v>78</v>
      </c>
      <c r="AG20" s="276" t="s">
        <v>78</v>
      </c>
      <c r="AH20" s="159" t="s">
        <v>78</v>
      </c>
      <c r="AI20" s="155" t="s">
        <v>78</v>
      </c>
      <c r="AJ20" s="155" t="s">
        <v>78</v>
      </c>
      <c r="AK20" s="155" t="s">
        <v>78</v>
      </c>
      <c r="AL20" s="155" t="s">
        <v>78</v>
      </c>
      <c r="AM20" s="276" t="s">
        <v>78</v>
      </c>
    </row>
    <row r="21" spans="1:39" ht="24" x14ac:dyDescent="0.2">
      <c r="A21" s="117" t="str">
        <f>OVERALL!T$1</f>
        <v>ENERGY 17</v>
      </c>
      <c r="B21" s="141" t="s">
        <v>78</v>
      </c>
      <c r="C21" s="142" t="s">
        <v>78</v>
      </c>
      <c r="D21" s="143" t="s">
        <v>78</v>
      </c>
      <c r="E21" s="71" t="s">
        <v>78</v>
      </c>
      <c r="F21" s="72" t="s">
        <v>78</v>
      </c>
      <c r="G21" s="82" t="s">
        <v>78</v>
      </c>
      <c r="H21" s="84" t="s">
        <v>78</v>
      </c>
      <c r="I21" s="144" t="s">
        <v>78</v>
      </c>
      <c r="J21" s="82" t="s">
        <v>78</v>
      </c>
      <c r="K21" s="83" t="s">
        <v>78</v>
      </c>
      <c r="L21" s="145" t="s">
        <v>78</v>
      </c>
      <c r="M21" s="146" t="s">
        <v>78</v>
      </c>
      <c r="N21" s="82" t="s">
        <v>78</v>
      </c>
      <c r="O21" s="83" t="s">
        <v>78</v>
      </c>
      <c r="P21" s="83" t="s">
        <v>78</v>
      </c>
      <c r="Q21" s="145" t="s">
        <v>78</v>
      </c>
      <c r="R21" s="147" t="s">
        <v>78</v>
      </c>
      <c r="S21" s="148" t="s">
        <v>78</v>
      </c>
      <c r="T21" s="84" t="s">
        <v>78</v>
      </c>
      <c r="U21" s="84" t="s">
        <v>78</v>
      </c>
      <c r="V21" s="149" t="s">
        <v>78</v>
      </c>
      <c r="W21" s="148" t="s">
        <v>78</v>
      </c>
      <c r="X21" s="84" t="s">
        <v>78</v>
      </c>
      <c r="Y21" s="84" t="s">
        <v>78</v>
      </c>
      <c r="Z21" s="84" t="s">
        <v>78</v>
      </c>
      <c r="AA21" s="73" t="s">
        <v>78</v>
      </c>
      <c r="AB21" s="83" t="s">
        <v>78</v>
      </c>
      <c r="AC21" s="83" t="s">
        <v>78</v>
      </c>
      <c r="AD21" s="83" t="s">
        <v>78</v>
      </c>
      <c r="AE21" s="74"/>
      <c r="AF21" s="85" t="s">
        <v>78</v>
      </c>
      <c r="AG21" s="277" t="s">
        <v>78</v>
      </c>
      <c r="AH21" s="86" t="s">
        <v>78</v>
      </c>
      <c r="AI21" s="83" t="s">
        <v>78</v>
      </c>
      <c r="AJ21" s="83" t="s">
        <v>78</v>
      </c>
      <c r="AK21" s="83" t="s">
        <v>78</v>
      </c>
      <c r="AL21" s="83" t="s">
        <v>78</v>
      </c>
      <c r="AM21" s="277" t="s">
        <v>78</v>
      </c>
    </row>
    <row r="22" spans="1:39" ht="24" x14ac:dyDescent="0.2">
      <c r="A22" s="117" t="str">
        <f>OVERALL!U$1</f>
        <v>ENERGY 18</v>
      </c>
      <c r="B22" s="141" t="s">
        <v>78</v>
      </c>
      <c r="C22" s="150" t="s">
        <v>78</v>
      </c>
      <c r="D22" s="143" t="s">
        <v>78</v>
      </c>
      <c r="E22" s="151" t="s">
        <v>78</v>
      </c>
      <c r="F22" s="152" t="s">
        <v>78</v>
      </c>
      <c r="G22" s="153" t="s">
        <v>78</v>
      </c>
      <c r="H22" s="154" t="s">
        <v>78</v>
      </c>
      <c r="I22" s="144" t="s">
        <v>78</v>
      </c>
      <c r="J22" s="153" t="s">
        <v>78</v>
      </c>
      <c r="K22" s="155" t="s">
        <v>78</v>
      </c>
      <c r="L22" s="156" t="s">
        <v>78</v>
      </c>
      <c r="M22" s="146" t="s">
        <v>78</v>
      </c>
      <c r="N22" s="153" t="s">
        <v>78</v>
      </c>
      <c r="O22" s="155" t="s">
        <v>78</v>
      </c>
      <c r="P22" s="155" t="s">
        <v>78</v>
      </c>
      <c r="Q22" s="156" t="s">
        <v>78</v>
      </c>
      <c r="R22" s="147" t="s">
        <v>78</v>
      </c>
      <c r="S22" s="157" t="s">
        <v>78</v>
      </c>
      <c r="T22" s="154" t="s">
        <v>78</v>
      </c>
      <c r="U22" s="154" t="s">
        <v>78</v>
      </c>
      <c r="V22" s="149" t="s">
        <v>78</v>
      </c>
      <c r="W22" s="157" t="s">
        <v>78</v>
      </c>
      <c r="X22" s="154" t="s">
        <v>78</v>
      </c>
      <c r="Y22" s="154" t="s">
        <v>78</v>
      </c>
      <c r="Z22" s="154" t="s">
        <v>78</v>
      </c>
      <c r="AA22" s="73" t="s">
        <v>78</v>
      </c>
      <c r="AB22" s="155" t="s">
        <v>78</v>
      </c>
      <c r="AC22" s="155" t="s">
        <v>78</v>
      </c>
      <c r="AD22" s="155" t="s">
        <v>78</v>
      </c>
      <c r="AE22" s="74"/>
      <c r="AF22" s="158" t="s">
        <v>78</v>
      </c>
      <c r="AG22" s="276" t="s">
        <v>78</v>
      </c>
      <c r="AH22" s="159" t="s">
        <v>78</v>
      </c>
      <c r="AI22" s="155" t="s">
        <v>78</v>
      </c>
      <c r="AJ22" s="155" t="s">
        <v>78</v>
      </c>
      <c r="AK22" s="155" t="s">
        <v>78</v>
      </c>
      <c r="AL22" s="155" t="s">
        <v>78</v>
      </c>
      <c r="AM22" s="276" t="s">
        <v>78</v>
      </c>
    </row>
    <row r="23" spans="1:39" ht="24" x14ac:dyDescent="0.2">
      <c r="A23" s="117" t="str">
        <f>OVERALL!V$1</f>
        <v>ENERGY 19</v>
      </c>
      <c r="B23" s="141" t="s">
        <v>78</v>
      </c>
      <c r="C23" s="142" t="s">
        <v>78</v>
      </c>
      <c r="D23" s="143" t="s">
        <v>78</v>
      </c>
      <c r="E23" s="71" t="s">
        <v>78</v>
      </c>
      <c r="F23" s="72" t="s">
        <v>78</v>
      </c>
      <c r="G23" s="82" t="s">
        <v>78</v>
      </c>
      <c r="H23" s="84" t="s">
        <v>78</v>
      </c>
      <c r="I23" s="144" t="s">
        <v>78</v>
      </c>
      <c r="J23" s="82" t="s">
        <v>78</v>
      </c>
      <c r="K23" s="83" t="s">
        <v>78</v>
      </c>
      <c r="L23" s="145" t="s">
        <v>78</v>
      </c>
      <c r="M23" s="146" t="s">
        <v>78</v>
      </c>
      <c r="N23" s="82" t="s">
        <v>78</v>
      </c>
      <c r="O23" s="83" t="s">
        <v>78</v>
      </c>
      <c r="P23" s="83" t="s">
        <v>78</v>
      </c>
      <c r="Q23" s="145" t="s">
        <v>78</v>
      </c>
      <c r="R23" s="147" t="s">
        <v>78</v>
      </c>
      <c r="S23" s="148" t="s">
        <v>78</v>
      </c>
      <c r="T23" s="84" t="s">
        <v>78</v>
      </c>
      <c r="U23" s="84" t="s">
        <v>78</v>
      </c>
      <c r="V23" s="149" t="s">
        <v>78</v>
      </c>
      <c r="W23" s="148" t="s">
        <v>78</v>
      </c>
      <c r="X23" s="84" t="s">
        <v>78</v>
      </c>
      <c r="Y23" s="84" t="s">
        <v>78</v>
      </c>
      <c r="Z23" s="84" t="s">
        <v>78</v>
      </c>
      <c r="AA23" s="73" t="s">
        <v>78</v>
      </c>
      <c r="AB23" s="83" t="s">
        <v>78</v>
      </c>
      <c r="AC23" s="83" t="s">
        <v>78</v>
      </c>
      <c r="AD23" s="83" t="s">
        <v>78</v>
      </c>
      <c r="AE23" s="74"/>
      <c r="AF23" s="85" t="s">
        <v>78</v>
      </c>
      <c r="AG23" s="277" t="s">
        <v>78</v>
      </c>
      <c r="AH23" s="86" t="s">
        <v>78</v>
      </c>
      <c r="AI23" s="83" t="s">
        <v>78</v>
      </c>
      <c r="AJ23" s="83" t="s">
        <v>78</v>
      </c>
      <c r="AK23" s="83" t="s">
        <v>78</v>
      </c>
      <c r="AL23" s="83" t="s">
        <v>78</v>
      </c>
      <c r="AM23" s="277" t="s">
        <v>78</v>
      </c>
    </row>
    <row r="24" spans="1:39" ht="24" x14ac:dyDescent="0.2">
      <c r="A24" s="117" t="str">
        <f>OVERALL!W$1</f>
        <v>ENERGY 20</v>
      </c>
      <c r="B24" s="141" t="s">
        <v>78</v>
      </c>
      <c r="C24" s="150" t="s">
        <v>78</v>
      </c>
      <c r="D24" s="143" t="s">
        <v>78</v>
      </c>
      <c r="E24" s="151" t="s">
        <v>78</v>
      </c>
      <c r="F24" s="152" t="s">
        <v>78</v>
      </c>
      <c r="G24" s="153" t="s">
        <v>78</v>
      </c>
      <c r="H24" s="154" t="s">
        <v>78</v>
      </c>
      <c r="I24" s="144" t="s">
        <v>78</v>
      </c>
      <c r="J24" s="153" t="s">
        <v>78</v>
      </c>
      <c r="K24" s="155" t="s">
        <v>78</v>
      </c>
      <c r="L24" s="156" t="s">
        <v>78</v>
      </c>
      <c r="M24" s="146" t="s">
        <v>78</v>
      </c>
      <c r="N24" s="153" t="s">
        <v>78</v>
      </c>
      <c r="O24" s="155" t="s">
        <v>78</v>
      </c>
      <c r="P24" s="155" t="s">
        <v>78</v>
      </c>
      <c r="Q24" s="156" t="s">
        <v>78</v>
      </c>
      <c r="R24" s="147" t="s">
        <v>78</v>
      </c>
      <c r="S24" s="157" t="s">
        <v>78</v>
      </c>
      <c r="T24" s="154" t="s">
        <v>78</v>
      </c>
      <c r="U24" s="154" t="s">
        <v>78</v>
      </c>
      <c r="V24" s="149" t="s">
        <v>78</v>
      </c>
      <c r="W24" s="157" t="s">
        <v>78</v>
      </c>
      <c r="X24" s="154" t="s">
        <v>78</v>
      </c>
      <c r="Y24" s="154" t="s">
        <v>78</v>
      </c>
      <c r="Z24" s="154" t="s">
        <v>78</v>
      </c>
      <c r="AA24" s="73" t="s">
        <v>78</v>
      </c>
      <c r="AB24" s="155" t="s">
        <v>78</v>
      </c>
      <c r="AC24" s="155" t="s">
        <v>78</v>
      </c>
      <c r="AD24" s="155" t="s">
        <v>78</v>
      </c>
      <c r="AE24" s="74"/>
      <c r="AF24" s="158" t="s">
        <v>78</v>
      </c>
      <c r="AG24" s="276" t="s">
        <v>78</v>
      </c>
      <c r="AH24" s="159" t="s">
        <v>78</v>
      </c>
      <c r="AI24" s="155" t="s">
        <v>78</v>
      </c>
      <c r="AJ24" s="155" t="s">
        <v>78</v>
      </c>
      <c r="AK24" s="155" t="s">
        <v>78</v>
      </c>
      <c r="AL24" s="155" t="s">
        <v>78</v>
      </c>
      <c r="AM24" s="276" t="s">
        <v>78</v>
      </c>
    </row>
    <row r="25" spans="1:39" ht="24" x14ac:dyDescent="0.2">
      <c r="A25" s="117" t="str">
        <f>OVERALL!X$1</f>
        <v>ENERGY 21</v>
      </c>
      <c r="B25" s="141" t="s">
        <v>78</v>
      </c>
      <c r="C25" s="142" t="s">
        <v>78</v>
      </c>
      <c r="D25" s="143" t="s">
        <v>78</v>
      </c>
      <c r="E25" s="71" t="s">
        <v>78</v>
      </c>
      <c r="F25" s="72" t="s">
        <v>78</v>
      </c>
      <c r="G25" s="82" t="s">
        <v>78</v>
      </c>
      <c r="H25" s="84" t="s">
        <v>78</v>
      </c>
      <c r="I25" s="144" t="s">
        <v>78</v>
      </c>
      <c r="J25" s="82" t="s">
        <v>78</v>
      </c>
      <c r="K25" s="83" t="s">
        <v>78</v>
      </c>
      <c r="L25" s="145" t="s">
        <v>78</v>
      </c>
      <c r="M25" s="146" t="s">
        <v>78</v>
      </c>
      <c r="N25" s="82" t="s">
        <v>78</v>
      </c>
      <c r="O25" s="83" t="s">
        <v>78</v>
      </c>
      <c r="P25" s="83" t="s">
        <v>78</v>
      </c>
      <c r="Q25" s="145" t="s">
        <v>78</v>
      </c>
      <c r="R25" s="147" t="s">
        <v>78</v>
      </c>
      <c r="S25" s="148" t="s">
        <v>78</v>
      </c>
      <c r="T25" s="84" t="s">
        <v>78</v>
      </c>
      <c r="U25" s="84" t="s">
        <v>78</v>
      </c>
      <c r="V25" s="149" t="s">
        <v>78</v>
      </c>
      <c r="W25" s="148" t="s">
        <v>78</v>
      </c>
      <c r="X25" s="84" t="s">
        <v>78</v>
      </c>
      <c r="Y25" s="84" t="s">
        <v>78</v>
      </c>
      <c r="Z25" s="84" t="s">
        <v>78</v>
      </c>
      <c r="AA25" s="73" t="s">
        <v>78</v>
      </c>
      <c r="AB25" s="83" t="s">
        <v>78</v>
      </c>
      <c r="AC25" s="83" t="s">
        <v>78</v>
      </c>
      <c r="AD25" s="83" t="s">
        <v>78</v>
      </c>
      <c r="AE25" s="74"/>
      <c r="AF25" s="85" t="s">
        <v>78</v>
      </c>
      <c r="AG25" s="277" t="s">
        <v>78</v>
      </c>
      <c r="AH25" s="86" t="s">
        <v>78</v>
      </c>
      <c r="AI25" s="83" t="s">
        <v>78</v>
      </c>
      <c r="AJ25" s="83" t="s">
        <v>78</v>
      </c>
      <c r="AK25" s="83" t="s">
        <v>78</v>
      </c>
      <c r="AL25" s="83" t="s">
        <v>78</v>
      </c>
      <c r="AM25" s="277" t="s">
        <v>78</v>
      </c>
    </row>
    <row r="26" spans="1:39" ht="24" x14ac:dyDescent="0.2">
      <c r="A26" s="117" t="str">
        <f>OVERALL!Y$1</f>
        <v>ENERGY 22</v>
      </c>
      <c r="B26" s="141" t="s">
        <v>78</v>
      </c>
      <c r="C26" s="150" t="s">
        <v>78</v>
      </c>
      <c r="D26" s="143" t="s">
        <v>78</v>
      </c>
      <c r="E26" s="151" t="s">
        <v>78</v>
      </c>
      <c r="F26" s="152" t="s">
        <v>78</v>
      </c>
      <c r="G26" s="153" t="s">
        <v>78</v>
      </c>
      <c r="H26" s="154" t="s">
        <v>78</v>
      </c>
      <c r="I26" s="144" t="s">
        <v>78</v>
      </c>
      <c r="J26" s="153" t="s">
        <v>78</v>
      </c>
      <c r="K26" s="155" t="s">
        <v>78</v>
      </c>
      <c r="L26" s="156" t="s">
        <v>78</v>
      </c>
      <c r="M26" s="146" t="s">
        <v>78</v>
      </c>
      <c r="N26" s="153" t="s">
        <v>78</v>
      </c>
      <c r="O26" s="155" t="s">
        <v>78</v>
      </c>
      <c r="P26" s="155" t="s">
        <v>78</v>
      </c>
      <c r="Q26" s="156" t="s">
        <v>78</v>
      </c>
      <c r="R26" s="147" t="s">
        <v>78</v>
      </c>
      <c r="S26" s="157" t="s">
        <v>78</v>
      </c>
      <c r="T26" s="154" t="s">
        <v>78</v>
      </c>
      <c r="U26" s="154" t="s">
        <v>78</v>
      </c>
      <c r="V26" s="149" t="s">
        <v>78</v>
      </c>
      <c r="W26" s="157" t="s">
        <v>78</v>
      </c>
      <c r="X26" s="154" t="s">
        <v>78</v>
      </c>
      <c r="Y26" s="154" t="s">
        <v>78</v>
      </c>
      <c r="Z26" s="154" t="s">
        <v>78</v>
      </c>
      <c r="AA26" s="73" t="s">
        <v>78</v>
      </c>
      <c r="AB26" s="155" t="s">
        <v>78</v>
      </c>
      <c r="AC26" s="155" t="s">
        <v>78</v>
      </c>
      <c r="AD26" s="155" t="s">
        <v>78</v>
      </c>
      <c r="AE26" s="74"/>
      <c r="AF26" s="158" t="s">
        <v>78</v>
      </c>
      <c r="AG26" s="276" t="s">
        <v>78</v>
      </c>
      <c r="AH26" s="159" t="s">
        <v>78</v>
      </c>
      <c r="AI26" s="155" t="s">
        <v>78</v>
      </c>
      <c r="AJ26" s="155" t="s">
        <v>78</v>
      </c>
      <c r="AK26" s="155" t="s">
        <v>78</v>
      </c>
      <c r="AL26" s="155" t="s">
        <v>78</v>
      </c>
      <c r="AM26" s="276" t="s">
        <v>78</v>
      </c>
    </row>
    <row r="27" spans="1:39" ht="24" x14ac:dyDescent="0.2">
      <c r="A27" s="117" t="str">
        <f>OVERALL!Z$1</f>
        <v>ENERGY 23</v>
      </c>
      <c r="B27" s="141" t="s">
        <v>78</v>
      </c>
      <c r="C27" s="142" t="s">
        <v>78</v>
      </c>
      <c r="D27" s="143" t="s">
        <v>78</v>
      </c>
      <c r="E27" s="71" t="s">
        <v>78</v>
      </c>
      <c r="F27" s="72" t="s">
        <v>78</v>
      </c>
      <c r="G27" s="82" t="s">
        <v>78</v>
      </c>
      <c r="H27" s="84" t="s">
        <v>78</v>
      </c>
      <c r="I27" s="144" t="s">
        <v>78</v>
      </c>
      <c r="J27" s="82" t="s">
        <v>78</v>
      </c>
      <c r="K27" s="83" t="s">
        <v>78</v>
      </c>
      <c r="L27" s="145" t="s">
        <v>78</v>
      </c>
      <c r="M27" s="146" t="s">
        <v>78</v>
      </c>
      <c r="N27" s="82" t="s">
        <v>78</v>
      </c>
      <c r="O27" s="83" t="s">
        <v>78</v>
      </c>
      <c r="P27" s="83" t="s">
        <v>78</v>
      </c>
      <c r="Q27" s="145" t="s">
        <v>78</v>
      </c>
      <c r="R27" s="147" t="s">
        <v>78</v>
      </c>
      <c r="S27" s="148" t="s">
        <v>78</v>
      </c>
      <c r="T27" s="84" t="s">
        <v>78</v>
      </c>
      <c r="U27" s="84" t="s">
        <v>78</v>
      </c>
      <c r="V27" s="149" t="s">
        <v>78</v>
      </c>
      <c r="W27" s="148" t="s">
        <v>78</v>
      </c>
      <c r="X27" s="84" t="s">
        <v>78</v>
      </c>
      <c r="Y27" s="84" t="s">
        <v>78</v>
      </c>
      <c r="Z27" s="84" t="s">
        <v>78</v>
      </c>
      <c r="AA27" s="73" t="s">
        <v>78</v>
      </c>
      <c r="AB27" s="83" t="s">
        <v>78</v>
      </c>
      <c r="AC27" s="83" t="s">
        <v>78</v>
      </c>
      <c r="AD27" s="83" t="s">
        <v>78</v>
      </c>
      <c r="AE27" s="74"/>
      <c r="AF27" s="85" t="s">
        <v>78</v>
      </c>
      <c r="AG27" s="277" t="s">
        <v>78</v>
      </c>
      <c r="AH27" s="86" t="s">
        <v>78</v>
      </c>
      <c r="AI27" s="83" t="s">
        <v>78</v>
      </c>
      <c r="AJ27" s="83" t="s">
        <v>78</v>
      </c>
      <c r="AK27" s="83" t="s">
        <v>78</v>
      </c>
      <c r="AL27" s="83" t="s">
        <v>78</v>
      </c>
      <c r="AM27" s="277" t="s">
        <v>78</v>
      </c>
    </row>
    <row r="28" spans="1:39" ht="24" x14ac:dyDescent="0.2">
      <c r="A28" s="117" t="str">
        <f>OVERALL!AA$1</f>
        <v>ENERGY 24</v>
      </c>
      <c r="B28" s="141" t="s">
        <v>78</v>
      </c>
      <c r="C28" s="150" t="s">
        <v>78</v>
      </c>
      <c r="D28" s="143" t="s">
        <v>78</v>
      </c>
      <c r="E28" s="151" t="s">
        <v>78</v>
      </c>
      <c r="F28" s="152" t="s">
        <v>78</v>
      </c>
      <c r="G28" s="153" t="s">
        <v>78</v>
      </c>
      <c r="H28" s="154" t="s">
        <v>78</v>
      </c>
      <c r="I28" s="144" t="s">
        <v>78</v>
      </c>
      <c r="J28" s="153" t="s">
        <v>78</v>
      </c>
      <c r="K28" s="155" t="s">
        <v>78</v>
      </c>
      <c r="L28" s="156" t="s">
        <v>78</v>
      </c>
      <c r="M28" s="146" t="s">
        <v>78</v>
      </c>
      <c r="N28" s="153" t="s">
        <v>78</v>
      </c>
      <c r="O28" s="155" t="s">
        <v>78</v>
      </c>
      <c r="P28" s="155" t="s">
        <v>78</v>
      </c>
      <c r="Q28" s="156" t="s">
        <v>78</v>
      </c>
      <c r="R28" s="147" t="s">
        <v>78</v>
      </c>
      <c r="S28" s="157" t="s">
        <v>78</v>
      </c>
      <c r="T28" s="154" t="s">
        <v>78</v>
      </c>
      <c r="U28" s="154" t="s">
        <v>78</v>
      </c>
      <c r="V28" s="149" t="s">
        <v>78</v>
      </c>
      <c r="W28" s="157" t="s">
        <v>78</v>
      </c>
      <c r="X28" s="154" t="s">
        <v>78</v>
      </c>
      <c r="Y28" s="154" t="s">
        <v>78</v>
      </c>
      <c r="Z28" s="154" t="s">
        <v>78</v>
      </c>
      <c r="AA28" s="73" t="s">
        <v>78</v>
      </c>
      <c r="AB28" s="155" t="s">
        <v>78</v>
      </c>
      <c r="AC28" s="155" t="s">
        <v>78</v>
      </c>
      <c r="AD28" s="155" t="s">
        <v>78</v>
      </c>
      <c r="AE28" s="74"/>
      <c r="AF28" s="158" t="s">
        <v>78</v>
      </c>
      <c r="AG28" s="276" t="s">
        <v>78</v>
      </c>
      <c r="AH28" s="159" t="s">
        <v>78</v>
      </c>
      <c r="AI28" s="155" t="s">
        <v>78</v>
      </c>
      <c r="AJ28" s="155" t="s">
        <v>78</v>
      </c>
      <c r="AK28" s="155" t="s">
        <v>78</v>
      </c>
      <c r="AL28" s="155" t="s">
        <v>78</v>
      </c>
      <c r="AM28" s="276" t="s">
        <v>78</v>
      </c>
    </row>
    <row r="29" spans="1:39" ht="24" x14ac:dyDescent="0.2">
      <c r="A29" s="117" t="str">
        <f>OVERALL!AB$1</f>
        <v>ENERGY 25</v>
      </c>
      <c r="B29" s="141" t="s">
        <v>78</v>
      </c>
      <c r="C29" s="142" t="s">
        <v>78</v>
      </c>
      <c r="D29" s="143" t="s">
        <v>78</v>
      </c>
      <c r="E29" s="71" t="s">
        <v>78</v>
      </c>
      <c r="F29" s="72" t="s">
        <v>78</v>
      </c>
      <c r="G29" s="82" t="s">
        <v>78</v>
      </c>
      <c r="H29" s="84" t="s">
        <v>78</v>
      </c>
      <c r="I29" s="144" t="s">
        <v>78</v>
      </c>
      <c r="J29" s="82" t="s">
        <v>78</v>
      </c>
      <c r="K29" s="83" t="s">
        <v>78</v>
      </c>
      <c r="L29" s="145" t="s">
        <v>78</v>
      </c>
      <c r="M29" s="146" t="s">
        <v>78</v>
      </c>
      <c r="N29" s="82" t="s">
        <v>78</v>
      </c>
      <c r="O29" s="83" t="s">
        <v>78</v>
      </c>
      <c r="P29" s="83" t="s">
        <v>78</v>
      </c>
      <c r="Q29" s="145" t="s">
        <v>78</v>
      </c>
      <c r="R29" s="147" t="s">
        <v>78</v>
      </c>
      <c r="S29" s="148" t="s">
        <v>78</v>
      </c>
      <c r="T29" s="84" t="s">
        <v>78</v>
      </c>
      <c r="U29" s="84" t="s">
        <v>78</v>
      </c>
      <c r="V29" s="149" t="s">
        <v>78</v>
      </c>
      <c r="W29" s="148" t="s">
        <v>78</v>
      </c>
      <c r="X29" s="84" t="s">
        <v>78</v>
      </c>
      <c r="Y29" s="84" t="s">
        <v>78</v>
      </c>
      <c r="Z29" s="84" t="s">
        <v>78</v>
      </c>
      <c r="AA29" s="73" t="s">
        <v>78</v>
      </c>
      <c r="AB29" s="83" t="s">
        <v>78</v>
      </c>
      <c r="AC29" s="83" t="s">
        <v>78</v>
      </c>
      <c r="AD29" s="83" t="s">
        <v>78</v>
      </c>
      <c r="AE29" s="74"/>
      <c r="AF29" s="85" t="s">
        <v>78</v>
      </c>
      <c r="AG29" s="277" t="s">
        <v>78</v>
      </c>
      <c r="AH29" s="86" t="s">
        <v>78</v>
      </c>
      <c r="AI29" s="83" t="s">
        <v>78</v>
      </c>
      <c r="AJ29" s="83" t="s">
        <v>78</v>
      </c>
      <c r="AK29" s="83" t="s">
        <v>78</v>
      </c>
      <c r="AL29" s="83" t="s">
        <v>78</v>
      </c>
      <c r="AM29" s="277" t="s">
        <v>78</v>
      </c>
    </row>
    <row r="30" spans="1:39" ht="24" x14ac:dyDescent="0.2">
      <c r="A30" s="117" t="str">
        <f>OVERALL!AC$1</f>
        <v>ENERGY 26</v>
      </c>
      <c r="B30" s="141" t="s">
        <v>78</v>
      </c>
      <c r="C30" s="150" t="s">
        <v>78</v>
      </c>
      <c r="D30" s="143" t="s">
        <v>78</v>
      </c>
      <c r="E30" s="151" t="s">
        <v>78</v>
      </c>
      <c r="F30" s="152" t="s">
        <v>78</v>
      </c>
      <c r="G30" s="153" t="s">
        <v>78</v>
      </c>
      <c r="H30" s="154" t="s">
        <v>78</v>
      </c>
      <c r="I30" s="144" t="s">
        <v>78</v>
      </c>
      <c r="J30" s="153" t="s">
        <v>78</v>
      </c>
      <c r="K30" s="155" t="s">
        <v>78</v>
      </c>
      <c r="L30" s="156" t="s">
        <v>78</v>
      </c>
      <c r="M30" s="146" t="s">
        <v>78</v>
      </c>
      <c r="N30" s="153" t="s">
        <v>78</v>
      </c>
      <c r="O30" s="155" t="s">
        <v>78</v>
      </c>
      <c r="P30" s="155" t="s">
        <v>78</v>
      </c>
      <c r="Q30" s="156" t="s">
        <v>78</v>
      </c>
      <c r="R30" s="147" t="s">
        <v>78</v>
      </c>
      <c r="S30" s="157" t="s">
        <v>78</v>
      </c>
      <c r="T30" s="154" t="s">
        <v>78</v>
      </c>
      <c r="U30" s="154" t="s">
        <v>78</v>
      </c>
      <c r="V30" s="149" t="s">
        <v>78</v>
      </c>
      <c r="W30" s="157" t="s">
        <v>78</v>
      </c>
      <c r="X30" s="154" t="s">
        <v>78</v>
      </c>
      <c r="Y30" s="154" t="s">
        <v>78</v>
      </c>
      <c r="Z30" s="154" t="s">
        <v>78</v>
      </c>
      <c r="AA30" s="73" t="s">
        <v>78</v>
      </c>
      <c r="AB30" s="155" t="s">
        <v>78</v>
      </c>
      <c r="AC30" s="155" t="s">
        <v>78</v>
      </c>
      <c r="AD30" s="155" t="s">
        <v>78</v>
      </c>
      <c r="AE30" s="74"/>
      <c r="AF30" s="158" t="s">
        <v>78</v>
      </c>
      <c r="AG30" s="276" t="s">
        <v>78</v>
      </c>
      <c r="AH30" s="159" t="s">
        <v>78</v>
      </c>
      <c r="AI30" s="155" t="s">
        <v>78</v>
      </c>
      <c r="AJ30" s="155" t="s">
        <v>78</v>
      </c>
      <c r="AK30" s="155" t="s">
        <v>78</v>
      </c>
      <c r="AL30" s="155" t="s">
        <v>78</v>
      </c>
      <c r="AM30" s="276" t="s">
        <v>78</v>
      </c>
    </row>
    <row r="31" spans="1:39" ht="24" x14ac:dyDescent="0.2">
      <c r="A31" s="117" t="str">
        <f>OVERALL!AD$1</f>
        <v>ENERGY 27</v>
      </c>
      <c r="B31" s="141" t="s">
        <v>78</v>
      </c>
      <c r="C31" s="142" t="s">
        <v>78</v>
      </c>
      <c r="D31" s="143" t="s">
        <v>78</v>
      </c>
      <c r="E31" s="71" t="s">
        <v>78</v>
      </c>
      <c r="F31" s="72" t="s">
        <v>78</v>
      </c>
      <c r="G31" s="82" t="s">
        <v>78</v>
      </c>
      <c r="H31" s="84" t="s">
        <v>78</v>
      </c>
      <c r="I31" s="144" t="s">
        <v>78</v>
      </c>
      <c r="J31" s="82" t="s">
        <v>78</v>
      </c>
      <c r="K31" s="83" t="s">
        <v>78</v>
      </c>
      <c r="L31" s="145" t="s">
        <v>78</v>
      </c>
      <c r="M31" s="146" t="s">
        <v>78</v>
      </c>
      <c r="N31" s="82" t="s">
        <v>78</v>
      </c>
      <c r="O31" s="83" t="s">
        <v>78</v>
      </c>
      <c r="P31" s="83" t="s">
        <v>78</v>
      </c>
      <c r="Q31" s="145" t="s">
        <v>78</v>
      </c>
      <c r="R31" s="147" t="s">
        <v>78</v>
      </c>
      <c r="S31" s="148" t="s">
        <v>78</v>
      </c>
      <c r="T31" s="84" t="s">
        <v>78</v>
      </c>
      <c r="U31" s="84" t="s">
        <v>78</v>
      </c>
      <c r="V31" s="149" t="s">
        <v>78</v>
      </c>
      <c r="W31" s="148" t="s">
        <v>78</v>
      </c>
      <c r="X31" s="84" t="s">
        <v>78</v>
      </c>
      <c r="Y31" s="84" t="s">
        <v>78</v>
      </c>
      <c r="Z31" s="84" t="s">
        <v>78</v>
      </c>
      <c r="AA31" s="73" t="s">
        <v>78</v>
      </c>
      <c r="AB31" s="83" t="s">
        <v>78</v>
      </c>
      <c r="AC31" s="83" t="s">
        <v>78</v>
      </c>
      <c r="AD31" s="83" t="s">
        <v>78</v>
      </c>
      <c r="AE31" s="74" t="s">
        <v>78</v>
      </c>
      <c r="AF31" s="85" t="s">
        <v>78</v>
      </c>
      <c r="AG31" s="277" t="s">
        <v>78</v>
      </c>
      <c r="AH31" s="86" t="s">
        <v>78</v>
      </c>
      <c r="AI31" s="83" t="s">
        <v>78</v>
      </c>
      <c r="AJ31" s="83" t="s">
        <v>78</v>
      </c>
      <c r="AK31" s="83" t="s">
        <v>78</v>
      </c>
      <c r="AL31" s="83" t="s">
        <v>78</v>
      </c>
      <c r="AM31" s="277" t="s">
        <v>78</v>
      </c>
    </row>
    <row r="32" spans="1:39" ht="24" x14ac:dyDescent="0.2">
      <c r="A32" s="117" t="str">
        <f>OVERALL!AE$1</f>
        <v>ENERGY 28</v>
      </c>
      <c r="B32" s="141" t="s">
        <v>78</v>
      </c>
      <c r="C32" s="150" t="s">
        <v>78</v>
      </c>
      <c r="D32" s="143" t="s">
        <v>78</v>
      </c>
      <c r="E32" s="151" t="s">
        <v>78</v>
      </c>
      <c r="F32" s="152" t="s">
        <v>78</v>
      </c>
      <c r="G32" s="153" t="s">
        <v>78</v>
      </c>
      <c r="H32" s="154" t="s">
        <v>78</v>
      </c>
      <c r="I32" s="144" t="s">
        <v>78</v>
      </c>
      <c r="J32" s="153" t="s">
        <v>78</v>
      </c>
      <c r="K32" s="155" t="s">
        <v>78</v>
      </c>
      <c r="L32" s="156" t="s">
        <v>78</v>
      </c>
      <c r="M32" s="146" t="s">
        <v>78</v>
      </c>
      <c r="N32" s="153" t="s">
        <v>78</v>
      </c>
      <c r="O32" s="155" t="s">
        <v>78</v>
      </c>
      <c r="P32" s="155" t="s">
        <v>78</v>
      </c>
      <c r="Q32" s="156" t="s">
        <v>78</v>
      </c>
      <c r="R32" s="147" t="s">
        <v>78</v>
      </c>
      <c r="S32" s="157" t="s">
        <v>78</v>
      </c>
      <c r="T32" s="154" t="s">
        <v>78</v>
      </c>
      <c r="U32" s="154" t="s">
        <v>78</v>
      </c>
      <c r="V32" s="149" t="s">
        <v>78</v>
      </c>
      <c r="W32" s="157" t="s">
        <v>78</v>
      </c>
      <c r="X32" s="154" t="s">
        <v>78</v>
      </c>
      <c r="Y32" s="154" t="s">
        <v>78</v>
      </c>
      <c r="Z32" s="154" t="s">
        <v>78</v>
      </c>
      <c r="AA32" s="73" t="s">
        <v>78</v>
      </c>
      <c r="AB32" s="155" t="s">
        <v>78</v>
      </c>
      <c r="AC32" s="155" t="s">
        <v>78</v>
      </c>
      <c r="AD32" s="155" t="s">
        <v>78</v>
      </c>
      <c r="AE32" s="74" t="s">
        <v>78</v>
      </c>
      <c r="AF32" s="158" t="s">
        <v>78</v>
      </c>
      <c r="AG32" s="276" t="s">
        <v>78</v>
      </c>
      <c r="AH32" s="159" t="s">
        <v>78</v>
      </c>
      <c r="AI32" s="155" t="s">
        <v>78</v>
      </c>
      <c r="AJ32" s="155" t="s">
        <v>78</v>
      </c>
      <c r="AK32" s="155" t="s">
        <v>78</v>
      </c>
      <c r="AL32" s="155" t="s">
        <v>78</v>
      </c>
      <c r="AM32" s="276" t="s">
        <v>78</v>
      </c>
    </row>
    <row r="33" spans="1:39" ht="24" x14ac:dyDescent="0.2">
      <c r="A33" s="117" t="str">
        <f>OVERALL!AF$1</f>
        <v>ENERGY 29</v>
      </c>
      <c r="B33" s="141" t="s">
        <v>78</v>
      </c>
      <c r="C33" s="142" t="s">
        <v>78</v>
      </c>
      <c r="D33" s="143" t="s">
        <v>78</v>
      </c>
      <c r="E33" s="71" t="s">
        <v>78</v>
      </c>
      <c r="F33" s="72" t="s">
        <v>78</v>
      </c>
      <c r="G33" s="82" t="s">
        <v>78</v>
      </c>
      <c r="H33" s="84" t="s">
        <v>78</v>
      </c>
      <c r="I33" s="144" t="s">
        <v>78</v>
      </c>
      <c r="J33" s="82" t="s">
        <v>78</v>
      </c>
      <c r="K33" s="83" t="s">
        <v>78</v>
      </c>
      <c r="L33" s="145" t="s">
        <v>78</v>
      </c>
      <c r="M33" s="146" t="s">
        <v>78</v>
      </c>
      <c r="N33" s="82" t="s">
        <v>78</v>
      </c>
      <c r="O33" s="83" t="s">
        <v>78</v>
      </c>
      <c r="P33" s="83" t="s">
        <v>78</v>
      </c>
      <c r="Q33" s="145" t="s">
        <v>78</v>
      </c>
      <c r="R33" s="147" t="s">
        <v>78</v>
      </c>
      <c r="S33" s="148" t="s">
        <v>78</v>
      </c>
      <c r="T33" s="84" t="s">
        <v>78</v>
      </c>
      <c r="U33" s="84" t="s">
        <v>78</v>
      </c>
      <c r="V33" s="149" t="s">
        <v>78</v>
      </c>
      <c r="W33" s="148" t="s">
        <v>78</v>
      </c>
      <c r="X33" s="84" t="s">
        <v>78</v>
      </c>
      <c r="Y33" s="84" t="s">
        <v>78</v>
      </c>
      <c r="Z33" s="84" t="s">
        <v>78</v>
      </c>
      <c r="AA33" s="73" t="s">
        <v>78</v>
      </c>
      <c r="AB33" s="83" t="s">
        <v>78</v>
      </c>
      <c r="AC33" s="83" t="s">
        <v>78</v>
      </c>
      <c r="AD33" s="83" t="s">
        <v>78</v>
      </c>
      <c r="AE33" s="74" t="s">
        <v>78</v>
      </c>
      <c r="AF33" s="85" t="s">
        <v>78</v>
      </c>
      <c r="AG33" s="277" t="s">
        <v>78</v>
      </c>
      <c r="AH33" s="86" t="s">
        <v>78</v>
      </c>
      <c r="AI33" s="83" t="s">
        <v>78</v>
      </c>
      <c r="AJ33" s="83" t="s">
        <v>78</v>
      </c>
      <c r="AK33" s="83" t="s">
        <v>78</v>
      </c>
      <c r="AL33" s="83" t="s">
        <v>78</v>
      </c>
      <c r="AM33" s="277" t="s">
        <v>78</v>
      </c>
    </row>
    <row r="34" spans="1:39" ht="25" thickBot="1" x14ac:dyDescent="0.25">
      <c r="A34" s="117" t="str">
        <f>OVERALL!AG$1</f>
        <v>ENERGY 30</v>
      </c>
      <c r="B34" s="160" t="s">
        <v>78</v>
      </c>
      <c r="C34" s="150" t="s">
        <v>78</v>
      </c>
      <c r="D34" s="161" t="s">
        <v>78</v>
      </c>
      <c r="E34" s="162" t="s">
        <v>78</v>
      </c>
      <c r="F34" s="163" t="s">
        <v>78</v>
      </c>
      <c r="G34" s="164" t="s">
        <v>78</v>
      </c>
      <c r="H34" s="165" t="s">
        <v>78</v>
      </c>
      <c r="I34" s="144" t="s">
        <v>78</v>
      </c>
      <c r="J34" s="153" t="s">
        <v>78</v>
      </c>
      <c r="K34" s="155" t="s">
        <v>78</v>
      </c>
      <c r="L34" s="156" t="s">
        <v>78</v>
      </c>
      <c r="M34" s="146" t="s">
        <v>78</v>
      </c>
      <c r="N34" s="153" t="s">
        <v>78</v>
      </c>
      <c r="O34" s="155" t="s">
        <v>78</v>
      </c>
      <c r="P34" s="155" t="s">
        <v>78</v>
      </c>
      <c r="Q34" s="156" t="s">
        <v>78</v>
      </c>
      <c r="R34" s="147" t="s">
        <v>78</v>
      </c>
      <c r="S34" s="157" t="s">
        <v>78</v>
      </c>
      <c r="T34" s="154" t="s">
        <v>78</v>
      </c>
      <c r="U34" s="154" t="s">
        <v>78</v>
      </c>
      <c r="V34" s="149" t="s">
        <v>78</v>
      </c>
      <c r="W34" s="157" t="s">
        <v>78</v>
      </c>
      <c r="X34" s="154" t="s">
        <v>78</v>
      </c>
      <c r="Y34" s="154" t="s">
        <v>78</v>
      </c>
      <c r="Z34" s="154" t="s">
        <v>78</v>
      </c>
      <c r="AA34" s="73" t="s">
        <v>78</v>
      </c>
      <c r="AB34" s="155" t="s">
        <v>78</v>
      </c>
      <c r="AC34" s="155" t="s">
        <v>78</v>
      </c>
      <c r="AD34" s="155" t="s">
        <v>78</v>
      </c>
      <c r="AE34" s="74" t="s">
        <v>78</v>
      </c>
      <c r="AF34" s="253" t="s">
        <v>78</v>
      </c>
      <c r="AG34" s="278" t="s">
        <v>78</v>
      </c>
      <c r="AH34" s="254" t="s">
        <v>78</v>
      </c>
      <c r="AI34" s="255" t="s">
        <v>78</v>
      </c>
      <c r="AJ34" s="255" t="s">
        <v>78</v>
      </c>
      <c r="AK34" s="255" t="s">
        <v>78</v>
      </c>
      <c r="AL34" s="255" t="s">
        <v>78</v>
      </c>
      <c r="AM34" s="278" t="s">
        <v>78</v>
      </c>
    </row>
    <row r="35" spans="1:39" s="185" customFormat="1" ht="44" customHeight="1" thickBot="1" x14ac:dyDescent="0.3">
      <c r="A35" s="166" t="s">
        <v>60</v>
      </c>
      <c r="B35" s="167">
        <f>OVERALL!B3</f>
        <v>0.56573143424036276</v>
      </c>
      <c r="C35" s="168">
        <f>OVERALL!B$4</f>
        <v>0.53628968253968257</v>
      </c>
      <c r="D35" s="169">
        <f>OVERALL!B$6</f>
        <v>0.45476190476190481</v>
      </c>
      <c r="E35" s="170">
        <f>OVERALL!B$7</f>
        <v>0.89523809523809528</v>
      </c>
      <c r="F35" s="171">
        <f>OVERALL!B$8</f>
        <v>0.51904761904761909</v>
      </c>
      <c r="G35" s="171">
        <f>OVERALL!B$9</f>
        <v>0.35238095238095235</v>
      </c>
      <c r="H35" s="172">
        <f>OVERALL!B$10</f>
        <v>5.2380952380952382E-2</v>
      </c>
      <c r="I35" s="173">
        <f>OVERALL!B$12</f>
        <v>0.41746031746031742</v>
      </c>
      <c r="J35" s="174">
        <f>OVERALL!B$13</f>
        <v>2.8571428571428574E-2</v>
      </c>
      <c r="K35" s="175">
        <f>OVERALL!B$14</f>
        <v>0.97619047619047616</v>
      </c>
      <c r="L35" s="176">
        <f>OVERALL!B$15</f>
        <v>0.24761904761904763</v>
      </c>
      <c r="M35" s="177">
        <f>OVERALL!B$17</f>
        <v>0.6886904761904763</v>
      </c>
      <c r="N35" s="174">
        <f>OVERALL!B$18</f>
        <v>0.69047619047619047</v>
      </c>
      <c r="O35" s="175">
        <f>OVERALL!B$19</f>
        <v>0.1238095238095238</v>
      </c>
      <c r="P35" s="175">
        <f>OVERALL!B$20</f>
        <v>0.94047619047619058</v>
      </c>
      <c r="Q35" s="176">
        <f>OVERALL!B$21</f>
        <v>1</v>
      </c>
      <c r="R35" s="178">
        <f>OVERALL!B$23</f>
        <v>0.50079365079365068</v>
      </c>
      <c r="S35" s="179">
        <f>OVERALL!B$24</f>
        <v>0.3261904761904762</v>
      </c>
      <c r="T35" s="180">
        <f>OVERALL!B$25</f>
        <v>0.31904761904761908</v>
      </c>
      <c r="U35" s="181">
        <f>OVERALL!B$26</f>
        <v>0.8571428571428571</v>
      </c>
      <c r="V35" s="182">
        <f>OVERALL!B$28</f>
        <v>0.66190476190476188</v>
      </c>
      <c r="W35" s="179">
        <f>OVERALL!B$29</f>
        <v>0.9</v>
      </c>
      <c r="X35" s="180">
        <f>OVERALL!B$30</f>
        <v>0.59999999999999987</v>
      </c>
      <c r="Y35" s="180">
        <f>OVERALL!B$31</f>
        <v>0.53809523809523818</v>
      </c>
      <c r="Z35" s="180">
        <f>OVERALL!B$32</f>
        <v>0.60952380952380969</v>
      </c>
      <c r="AA35" s="183"/>
      <c r="AB35" s="180">
        <f>OVERALL!B$34</f>
        <v>5.2380952380952382E-2</v>
      </c>
      <c r="AC35" s="180">
        <f>OVERALL!B$35</f>
        <v>2.8571428571428574E-2</v>
      </c>
      <c r="AD35" s="180">
        <f>OVERALL!B$36</f>
        <v>2.3809523809523808E-2</v>
      </c>
      <c r="AE35" s="252">
        <f>OVERALL!B$39</f>
        <v>0.9285714285714286</v>
      </c>
      <c r="AF35" s="256">
        <f>OVERALL!B$39</f>
        <v>0.9285714285714286</v>
      </c>
      <c r="AG35" s="282">
        <f>OVERALL!B40</f>
        <v>4.9671516754850086E-3</v>
      </c>
      <c r="AH35" s="184">
        <f>OVERALL!B$41</f>
        <v>5.0761904761904759</v>
      </c>
      <c r="AI35" s="180">
        <f>OVERALL!B$42</f>
        <v>0.67380952380952386</v>
      </c>
      <c r="AJ35" s="180">
        <f>OVERALL!B$43</f>
        <v>0.911904761904762</v>
      </c>
      <c r="AK35" s="180">
        <f>OVERALL!B$44</f>
        <v>0.70238095238095233</v>
      </c>
      <c r="AL35" s="180">
        <f>OVERALL!B$45</f>
        <v>4.7619047619047616E-2</v>
      </c>
      <c r="AM35" s="279">
        <f>OVERALL!B71</f>
        <v>7.2827932098765424E-3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90" zoomScaleNormal="90" workbookViewId="0">
      <pane xSplit="3" ySplit="6" topLeftCell="D48" activePane="bottomRight" state="frozen"/>
      <selection activeCell="G47" sqref="G47"/>
      <selection pane="topRight" activeCell="G47" sqref="G47"/>
      <selection pane="bottomLeft" activeCell="G47" sqref="G47"/>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8" t="s">
        <v>154</v>
      </c>
      <c r="E2" s="306" t="s">
        <v>178</v>
      </c>
      <c r="F2" s="294" t="s">
        <v>134</v>
      </c>
      <c r="G2" s="312" t="s">
        <v>190</v>
      </c>
      <c r="H2" s="306" t="s">
        <v>78</v>
      </c>
      <c r="I2" s="296" t="s">
        <v>146</v>
      </c>
    </row>
    <row r="3" spans="1:11" ht="19" x14ac:dyDescent="0.2">
      <c r="A3" s="32" t="str">
        <f>OVERALL!J1</f>
        <v>MOMENTUM</v>
      </c>
      <c r="B3" s="249">
        <f>OVERALL!J3</f>
        <v>0.50733035714285712</v>
      </c>
      <c r="C3" s="109" t="s">
        <v>74</v>
      </c>
      <c r="D3" s="110">
        <f>IF(D2="-","-",D57)</f>
        <v>0.69491666666666663</v>
      </c>
      <c r="E3" s="110">
        <f t="shared" ref="E3:I3" si="0">IF(E2="-","-",E57)</f>
        <v>0.45029166666666665</v>
      </c>
      <c r="F3" s="110">
        <f t="shared" si="0"/>
        <v>0.44627380952380946</v>
      </c>
      <c r="G3" s="110">
        <f t="shared" si="0"/>
        <v>0.55491666666666661</v>
      </c>
      <c r="H3" s="110" t="str">
        <f t="shared" si="0"/>
        <v>-</v>
      </c>
      <c r="I3" s="110">
        <f t="shared" si="0"/>
        <v>0.54758333333333331</v>
      </c>
    </row>
    <row r="4" spans="1:11" ht="18" customHeight="1" x14ac:dyDescent="0.2">
      <c r="A4" s="17" t="str">
        <f>OVERALL!A4</f>
        <v>QUALITY SCORE</v>
      </c>
      <c r="B4" s="38">
        <f>IF(C2=0, "-", IF(COUNTIF(D39:I39, "n")=C2, "-", IF(COUNT(D4:I4)=0, "-", AVERAGE(D4:I4))))</f>
        <v>0.5</v>
      </c>
      <c r="C4" s="59" t="s">
        <v>1</v>
      </c>
      <c r="D4" s="38">
        <f>IF(D48&lt;0%,0%,IF(D$2="-","-",IF(D$39="n", "-", SUM(D$6,D$12,D$17,D$23,D$28,D$34))))</f>
        <v>0.65416666666666667</v>
      </c>
      <c r="E4" s="38">
        <f t="shared" ref="E4:I4" si="1">IF(E48&lt;0%,0%,IF(E$2="-","-",IF(E$39="n", "-", SUM(E$6,E$12,E$17,E$23,E$28,E$34))))</f>
        <v>0.45416666666666672</v>
      </c>
      <c r="F4" s="38">
        <f t="shared" si="1"/>
        <v>0.45416666666666666</v>
      </c>
      <c r="G4" s="38">
        <f t="shared" si="1"/>
        <v>0.45416666666666661</v>
      </c>
      <c r="H4" s="38" t="str">
        <f t="shared" si="1"/>
        <v>-</v>
      </c>
      <c r="I4" s="38">
        <f t="shared" si="1"/>
        <v>0.48333333333333339</v>
      </c>
      <c r="K4" s="12" t="s">
        <v>8</v>
      </c>
    </row>
    <row r="5" spans="1:11" ht="18" customHeight="1" x14ac:dyDescent="0.25">
      <c r="A5" s="58" t="s">
        <v>49</v>
      </c>
      <c r="B5" s="59">
        <f>IF(B6="-","-",AVERAGE(D5:I5))</f>
        <v>0.5</v>
      </c>
      <c r="C5" s="59" t="s">
        <v>1</v>
      </c>
      <c r="D5" s="61">
        <f t="shared" ref="D5:I5" si="2">IF(D$2="","",IF(D$39="n", "", SUM(D$6,D$12,D$17,D$23,D$28)))</f>
        <v>0.65416666666666667</v>
      </c>
      <c r="E5" s="61">
        <f t="shared" si="2"/>
        <v>0.45416666666666672</v>
      </c>
      <c r="F5" s="61">
        <f t="shared" si="2"/>
        <v>0.45416666666666666</v>
      </c>
      <c r="G5" s="61">
        <f t="shared" si="2"/>
        <v>0.45416666666666661</v>
      </c>
      <c r="H5" s="61" t="str">
        <f t="shared" si="2"/>
        <v/>
      </c>
      <c r="I5" s="61">
        <f t="shared" si="2"/>
        <v>0.48333333333333339</v>
      </c>
      <c r="K5" s="7" t="s">
        <v>17</v>
      </c>
    </row>
    <row r="6" spans="1:11" ht="18" customHeight="1" x14ac:dyDescent="0.2">
      <c r="A6" s="20" t="str">
        <f>OVERALL!A6</f>
        <v>ENGAGE</v>
      </c>
      <c r="B6" s="21">
        <f>IF(C11=0,"-",AVERAGE(B7:B10))</f>
        <v>0.35000000000000003</v>
      </c>
      <c r="C6" s="62" t="s">
        <v>0</v>
      </c>
      <c r="D6" s="28">
        <f>IF(D11=0,"-",(COUNTIF(D7:D10, "y")/D11)*OVERALL!$C$6)</f>
        <v>0.1</v>
      </c>
      <c r="E6" s="28">
        <f>IF(E11=0,"-",(COUNTIF(E7:E10, "y")/E11)*OVERALL!$C$6)</f>
        <v>0.05</v>
      </c>
      <c r="F6" s="28">
        <f>IF(F11=0,"-",(COUNTIF(F7:F10, "y")/F11)*OVERALL!$C$6)</f>
        <v>0.1</v>
      </c>
      <c r="G6" s="28">
        <f>IF(G11=0,"-",(COUNTIF(G7:G10, "y")/G11)*OVERALL!$C$6)</f>
        <v>0</v>
      </c>
      <c r="H6" s="28" t="str">
        <f>IF(H11=0,"-",(COUNTIF(H7:H10, "y")/H11)*OVERALL!$C$6)</f>
        <v>-</v>
      </c>
      <c r="I6" s="28">
        <f>IF(I11=0,"-",(COUNTIF(I7:I10, "y")/I11)*OVERALL!$C$6)</f>
        <v>0.1</v>
      </c>
    </row>
    <row r="7" spans="1:11" ht="18" customHeight="1" x14ac:dyDescent="0.2">
      <c r="A7" s="33" t="str">
        <f>OVERALL!A7</f>
        <v>WELCOME</v>
      </c>
      <c r="B7" s="3">
        <f>IF(C7=0,"-",COUNTIF(D7:I7,"y")/C7)</f>
        <v>0.6</v>
      </c>
      <c r="C7" s="26">
        <f>$C$2-COUNTIF(D7:I7, "-")</f>
        <v>5</v>
      </c>
      <c r="D7" s="297" t="s">
        <v>122</v>
      </c>
      <c r="E7" s="305" t="s">
        <v>122</v>
      </c>
      <c r="F7" s="293" t="s">
        <v>122</v>
      </c>
      <c r="G7" s="311" t="s">
        <v>121</v>
      </c>
      <c r="H7" s="305" t="s">
        <v>78</v>
      </c>
      <c r="I7" s="295" t="s">
        <v>121</v>
      </c>
      <c r="K7" s="11" t="s">
        <v>2</v>
      </c>
    </row>
    <row r="8" spans="1:11" ht="18" customHeight="1" x14ac:dyDescent="0.25">
      <c r="A8" s="33" t="str">
        <f>OVERALL!A8</f>
        <v>INTENT</v>
      </c>
      <c r="B8" s="3">
        <f>IF(C8=0,"-",COUNTIF(D8:I8,"y")/C8)</f>
        <v>0.2</v>
      </c>
      <c r="C8" s="26">
        <f>$C$2-COUNTIF(D8:I8, "-")</f>
        <v>5</v>
      </c>
      <c r="D8" s="297" t="s">
        <v>121</v>
      </c>
      <c r="E8" s="305" t="s">
        <v>121</v>
      </c>
      <c r="F8" s="293" t="s">
        <v>121</v>
      </c>
      <c r="G8" s="311" t="s">
        <v>121</v>
      </c>
      <c r="H8" s="305" t="s">
        <v>78</v>
      </c>
      <c r="I8" s="295" t="s">
        <v>122</v>
      </c>
      <c r="K8" s="7" t="s">
        <v>16</v>
      </c>
    </row>
    <row r="9" spans="1:11" ht="18" customHeight="1" x14ac:dyDescent="0.2">
      <c r="A9" s="33" t="str">
        <f>OVERALL!A9</f>
        <v>NAME</v>
      </c>
      <c r="B9" s="3">
        <f>IF(C9=0,"-",COUNTIF(D9:I9,"y")/C9)</f>
        <v>0.4</v>
      </c>
      <c r="C9" s="26">
        <f>$C$2-COUNTIF(D9:I9, "-")</f>
        <v>5</v>
      </c>
      <c r="D9" s="297" t="s">
        <v>122</v>
      </c>
      <c r="E9" s="305" t="s">
        <v>121</v>
      </c>
      <c r="F9" s="293" t="s">
        <v>121</v>
      </c>
      <c r="G9" s="311" t="s">
        <v>121</v>
      </c>
      <c r="H9" s="305" t="s">
        <v>78</v>
      </c>
      <c r="I9" s="295" t="s">
        <v>122</v>
      </c>
      <c r="K9" t="s">
        <v>1</v>
      </c>
    </row>
    <row r="10" spans="1:11" ht="18" customHeight="1" x14ac:dyDescent="0.2">
      <c r="A10" s="33" t="str">
        <f>OVERALL!A10</f>
        <v>BRIDGE</v>
      </c>
      <c r="B10" s="3">
        <f>IF(C10=0,"-",COUNTIF(D10:I10,"y")/C10)</f>
        <v>0.2</v>
      </c>
      <c r="C10" s="26">
        <f>$C$2-COUNTIF(D10:I10, "-")</f>
        <v>5</v>
      </c>
      <c r="D10" s="297" t="s">
        <v>121</v>
      </c>
      <c r="E10" s="305" t="s">
        <v>121</v>
      </c>
      <c r="F10" s="293" t="s">
        <v>122</v>
      </c>
      <c r="G10" s="311" t="s">
        <v>121</v>
      </c>
      <c r="H10" s="305" t="s">
        <v>78</v>
      </c>
      <c r="I10" s="295" t="s">
        <v>121</v>
      </c>
      <c r="K10" s="13" t="s">
        <v>3</v>
      </c>
    </row>
    <row r="11" spans="1:11" ht="18" customHeight="1" x14ac:dyDescent="0.25">
      <c r="A11" s="2"/>
      <c r="C11" s="64">
        <f>AVERAGE(C7:C10)</f>
        <v>5</v>
      </c>
      <c r="D11" s="27">
        <f t="shared" ref="D11:I11" si="3">COUNTA(D7:D10)-COUNTIF(D7:D10, "-")</f>
        <v>4</v>
      </c>
      <c r="E11" s="27">
        <f t="shared" si="3"/>
        <v>4</v>
      </c>
      <c r="F11" s="27">
        <f t="shared" si="3"/>
        <v>4</v>
      </c>
      <c r="G11" s="27">
        <f t="shared" si="3"/>
        <v>4</v>
      </c>
      <c r="H11" s="27">
        <f t="shared" si="3"/>
        <v>0</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t="str">
        <f>IF(H16=0,"-",(COUNTIF(H13:H15, "y")/H16)*OVERALL!$C$12)</f>
        <v>-</v>
      </c>
      <c r="I12" s="28">
        <f>IF(I16=0,"-",(COUNTIF(I13:I15, "y")/I16)*OVERALL!$C$12)</f>
        <v>6.6666666666666666E-2</v>
      </c>
      <c r="K12" t="s">
        <v>1</v>
      </c>
    </row>
    <row r="13" spans="1:11" ht="18" customHeight="1" x14ac:dyDescent="0.2">
      <c r="A13" s="33" t="str">
        <f>OVERALL!A13</f>
        <v>CONVERSE</v>
      </c>
      <c r="B13" s="3">
        <f>IF(C13=0,"-",COUNTIF(D13:I13,"y")/C13)</f>
        <v>0</v>
      </c>
      <c r="C13" s="26">
        <f>$C$2-COUNTIF(D13:I13, "-")</f>
        <v>5</v>
      </c>
      <c r="D13" s="297" t="s">
        <v>121</v>
      </c>
      <c r="E13" s="305" t="s">
        <v>121</v>
      </c>
      <c r="F13" s="293" t="s">
        <v>121</v>
      </c>
      <c r="G13" s="311" t="s">
        <v>121</v>
      </c>
      <c r="H13" s="305" t="s">
        <v>78</v>
      </c>
      <c r="I13" s="295" t="s">
        <v>121</v>
      </c>
      <c r="K13" s="14" t="s">
        <v>4</v>
      </c>
    </row>
    <row r="14" spans="1:11" ht="18" customHeight="1" x14ac:dyDescent="0.25">
      <c r="A14" s="33" t="str">
        <f>OVERALL!A14</f>
        <v>LISTEN</v>
      </c>
      <c r="B14" s="3">
        <f>IF(C14=0,"-",COUNTIF(D14:I14,"y")/C14)</f>
        <v>1</v>
      </c>
      <c r="C14" s="26">
        <f>$C$2-COUNTIF(D14:I14, "-")</f>
        <v>5</v>
      </c>
      <c r="D14" s="297" t="s">
        <v>122</v>
      </c>
      <c r="E14" s="305" t="s">
        <v>122</v>
      </c>
      <c r="F14" s="293" t="s">
        <v>122</v>
      </c>
      <c r="G14" s="311" t="s">
        <v>122</v>
      </c>
      <c r="H14" s="305" t="s">
        <v>78</v>
      </c>
      <c r="I14" s="295" t="s">
        <v>122</v>
      </c>
      <c r="K14" s="9" t="s">
        <v>14</v>
      </c>
    </row>
    <row r="15" spans="1:11" ht="18" customHeight="1" x14ac:dyDescent="0.2">
      <c r="A15" s="33" t="str">
        <f>OVERALL!A15</f>
        <v>CONFIRM</v>
      </c>
      <c r="B15" s="3">
        <f>IF(C15=0,"-",COUNTIF(D15:I15,"y")/C15)</f>
        <v>0</v>
      </c>
      <c r="C15" s="26">
        <f>$C$2-COUNTIF(D15:I15, "-")</f>
        <v>5</v>
      </c>
      <c r="D15" s="297" t="s">
        <v>121</v>
      </c>
      <c r="E15" s="305" t="s">
        <v>121</v>
      </c>
      <c r="F15" s="293" t="s">
        <v>121</v>
      </c>
      <c r="G15" s="311" t="s">
        <v>121</v>
      </c>
      <c r="H15" s="305" t="s">
        <v>78</v>
      </c>
      <c r="I15" s="295" t="s">
        <v>121</v>
      </c>
      <c r="J15" t="s">
        <v>1</v>
      </c>
    </row>
    <row r="16" spans="1:11" ht="18" customHeight="1" x14ac:dyDescent="0.2">
      <c r="A16" s="2"/>
      <c r="C16" s="64">
        <f>AVERAGE(C13:C15)</f>
        <v>5</v>
      </c>
      <c r="D16" s="27">
        <f t="shared" ref="D16:I16" si="4">COUNTA(D13:D15)-COUNTIF(D13:D15, "-")</f>
        <v>3</v>
      </c>
      <c r="E16" s="27">
        <f t="shared" si="4"/>
        <v>3</v>
      </c>
      <c r="F16" s="27">
        <f t="shared" si="4"/>
        <v>3</v>
      </c>
      <c r="G16" s="27">
        <f t="shared" si="4"/>
        <v>3</v>
      </c>
      <c r="H16" s="27">
        <f t="shared" si="4"/>
        <v>0</v>
      </c>
      <c r="I16" s="27">
        <f t="shared" si="4"/>
        <v>3</v>
      </c>
      <c r="K16" s="15" t="s">
        <v>7</v>
      </c>
    </row>
    <row r="17" spans="1:14"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G17" s="29">
        <f>IF(G22=0,"-",(COUNTIF(G18:G21, "y")/G22)*OVERALL!$C$17)</f>
        <v>0.1875</v>
      </c>
      <c r="H17" s="29" t="str">
        <f>IF(H22=0,"-",(COUNTIF(H18:H21, "y")/H22)*OVERALL!$C$17)</f>
        <v>-</v>
      </c>
      <c r="I17" s="29">
        <f>IF(I22=0,"-",(COUNTIF(I18:I21, "y")/I22)*OVERALL!$C$17)</f>
        <v>0.16666666666666666</v>
      </c>
      <c r="K17" s="9" t="s">
        <v>6</v>
      </c>
    </row>
    <row r="18" spans="1:14" ht="18" customHeight="1" x14ac:dyDescent="0.2">
      <c r="A18" s="33" t="str">
        <f>OVERALL!A18</f>
        <v>INFORM</v>
      </c>
      <c r="B18" s="3">
        <f>IF(C18=0,"-",COUNTIF(D18:I18,"y")/C18)</f>
        <v>1</v>
      </c>
      <c r="C18" s="26">
        <f>$C$2-COUNTIF(D18:I18, "-")</f>
        <v>5</v>
      </c>
      <c r="D18" s="297" t="s">
        <v>122</v>
      </c>
      <c r="E18" s="305" t="s">
        <v>122</v>
      </c>
      <c r="F18" s="293" t="s">
        <v>122</v>
      </c>
      <c r="G18" s="311" t="s">
        <v>122</v>
      </c>
      <c r="H18" s="305" t="s">
        <v>78</v>
      </c>
      <c r="I18" s="295" t="s">
        <v>122</v>
      </c>
    </row>
    <row r="19" spans="1:14" ht="18" customHeight="1" x14ac:dyDescent="0.2">
      <c r="A19" s="33" t="str">
        <f>OVERALL!A19</f>
        <v>CHECK</v>
      </c>
      <c r="B19" s="3">
        <f>IF(C19=0,"-",COUNTIF(D19:I19,"y")/C19)</f>
        <v>0</v>
      </c>
      <c r="C19" s="26">
        <f>$C$2-COUNTIF(D19:I19, "-")</f>
        <v>5</v>
      </c>
      <c r="D19" s="297" t="s">
        <v>121</v>
      </c>
      <c r="E19" s="305" t="s">
        <v>121</v>
      </c>
      <c r="F19" s="293" t="s">
        <v>121</v>
      </c>
      <c r="G19" s="311" t="s">
        <v>121</v>
      </c>
      <c r="H19" s="305" t="s">
        <v>78</v>
      </c>
      <c r="I19" s="295" t="s">
        <v>121</v>
      </c>
    </row>
    <row r="20" spans="1:14" ht="18" customHeight="1" x14ac:dyDescent="0.2">
      <c r="A20" s="33" t="str">
        <f>OVERALL!A20</f>
        <v>SEEK</v>
      </c>
      <c r="B20" s="3">
        <f>IF(C20=0,"-",COUNTIF(D20:I20,"y")/C20)</f>
        <v>1</v>
      </c>
      <c r="C20" s="26">
        <f>$C$2-COUNTIF(D20:I20, "-")</f>
        <v>4</v>
      </c>
      <c r="D20" s="297" t="s">
        <v>122</v>
      </c>
      <c r="E20" s="305" t="s">
        <v>122</v>
      </c>
      <c r="F20" s="293" t="s">
        <v>122</v>
      </c>
      <c r="G20" s="311" t="s">
        <v>122</v>
      </c>
      <c r="H20" s="305" t="s">
        <v>78</v>
      </c>
      <c r="I20" s="295" t="s">
        <v>78</v>
      </c>
      <c r="K20" t="s">
        <v>1</v>
      </c>
    </row>
    <row r="21" spans="1:14" ht="18" customHeight="1" x14ac:dyDescent="0.2">
      <c r="A21" s="33" t="str">
        <f>OVERALL!A21</f>
        <v>CONFIDENCE</v>
      </c>
      <c r="B21" s="3">
        <f>IF(C21=0,"-",COUNTIF(D21:I21,"y")/C21)</f>
        <v>1</v>
      </c>
      <c r="C21" s="26">
        <f>$C$2-COUNTIF(D21:I21, "-")</f>
        <v>5</v>
      </c>
      <c r="D21" s="297" t="s">
        <v>122</v>
      </c>
      <c r="E21" s="305" t="s">
        <v>122</v>
      </c>
      <c r="F21" s="293" t="s">
        <v>122</v>
      </c>
      <c r="G21" s="311" t="s">
        <v>122</v>
      </c>
      <c r="H21" s="305" t="s">
        <v>78</v>
      </c>
      <c r="I21" s="295" t="s">
        <v>122</v>
      </c>
    </row>
    <row r="22" spans="1:14" ht="18" customHeight="1" x14ac:dyDescent="0.2">
      <c r="A22" s="2"/>
      <c r="C22" s="64">
        <f>AVERAGE(C18:C21)</f>
        <v>4.75</v>
      </c>
      <c r="D22" s="27">
        <f t="shared" ref="D22:I22" si="5">COUNTA(D18:D21)-COUNTIF(D18:D21, "-")</f>
        <v>4</v>
      </c>
      <c r="E22" s="27">
        <f t="shared" si="5"/>
        <v>4</v>
      </c>
      <c r="F22" s="27">
        <f t="shared" si="5"/>
        <v>4</v>
      </c>
      <c r="G22" s="27">
        <f t="shared" si="5"/>
        <v>4</v>
      </c>
      <c r="H22" s="27">
        <f t="shared" si="5"/>
        <v>0</v>
      </c>
      <c r="I22" s="27">
        <f t="shared" si="5"/>
        <v>3</v>
      </c>
    </row>
    <row r="23" spans="1:14" ht="18" customHeight="1" x14ac:dyDescent="0.2">
      <c r="A23" s="20" t="str">
        <f>OVERALL!A23</f>
        <v>CLOSE</v>
      </c>
      <c r="B23" s="21">
        <f>IF(C27=0,"-",AVERAGE(B24:B26))</f>
        <v>0.5</v>
      </c>
      <c r="C23" s="1" t="s">
        <v>1</v>
      </c>
      <c r="D23" s="29">
        <f>IF(D27=0,"-",(COUNTIF(D24:D26, "y")/D27)*OVERALL!$C$23)</f>
        <v>9.9999999999999992E-2</v>
      </c>
      <c r="E23" s="29">
        <f>IF(E27=0,"-",(COUNTIF(E24:E26, "y")/E27)*OVERALL!$C$23)</f>
        <v>4.9999999999999996E-2</v>
      </c>
      <c r="F23" s="29">
        <f>IF(F27=0,"-",(COUNTIF(F24:F26, "y")/F27)*OVERALL!$C$23)</f>
        <v>4.9999999999999996E-2</v>
      </c>
      <c r="G23" s="29">
        <f>IF(G27=0,"-",(COUNTIF(G24:G26, "y")/G27)*OVERALL!$C$23)</f>
        <v>9.9999999999999992E-2</v>
      </c>
      <c r="H23" s="29" t="str">
        <f>IF(H27=0,"-",(COUNTIF(H24:H26, "y")/H27)*OVERALL!$C$23)</f>
        <v>-</v>
      </c>
      <c r="I23" s="29" t="str">
        <f>IF(I27=0,"-",(COUNTIF(I24:I26, "y")/I27)*OVERALL!$C$23)</f>
        <v>-</v>
      </c>
    </row>
    <row r="24" spans="1:14" ht="18" customHeight="1" x14ac:dyDescent="0.2">
      <c r="A24" s="33" t="str">
        <f>OVERALL!A24</f>
        <v>QUESTIONS</v>
      </c>
      <c r="B24" s="3">
        <f>IF(C24=0,"-",COUNTIF(D24:I24,"y")/C24)</f>
        <v>0.25</v>
      </c>
      <c r="C24" s="26">
        <f>$C$2-COUNTIF(D24:I24, "-")</f>
        <v>4</v>
      </c>
      <c r="D24" s="297" t="s">
        <v>122</v>
      </c>
      <c r="E24" s="305" t="s">
        <v>121</v>
      </c>
      <c r="F24" s="293" t="s">
        <v>121</v>
      </c>
      <c r="G24" s="311" t="s">
        <v>121</v>
      </c>
      <c r="H24" s="305" t="s">
        <v>78</v>
      </c>
      <c r="I24" s="295" t="s">
        <v>78</v>
      </c>
    </row>
    <row r="25" spans="1:14" ht="18" customHeight="1" x14ac:dyDescent="0.2">
      <c r="A25" s="33" t="str">
        <f>OVERALL!A25</f>
        <v>GRATITUDE</v>
      </c>
      <c r="B25" s="3">
        <f>IF(C25=0,"-",COUNTIF(D25:I25,"y")/C25)</f>
        <v>0.25</v>
      </c>
      <c r="C25" s="26">
        <f>$C$2-COUNTIF(D25:I25, "-")</f>
        <v>4</v>
      </c>
      <c r="D25" s="297" t="s">
        <v>121</v>
      </c>
      <c r="E25" s="305" t="s">
        <v>121</v>
      </c>
      <c r="F25" s="293" t="s">
        <v>121</v>
      </c>
      <c r="G25" s="311" t="s">
        <v>122</v>
      </c>
      <c r="H25" s="305" t="s">
        <v>78</v>
      </c>
      <c r="I25" s="295" t="s">
        <v>78</v>
      </c>
    </row>
    <row r="26" spans="1:14" ht="18" customHeight="1" x14ac:dyDescent="0.2">
      <c r="A26" s="33" t="str">
        <f>OVERALL!A26</f>
        <v>THANKS</v>
      </c>
      <c r="B26" s="3">
        <f>IF(C26=0,"-",COUNTIF(D26:I26,"y")/C26)</f>
        <v>1</v>
      </c>
      <c r="C26" s="26">
        <f>$C$2-COUNTIF(D26:I26, "-")</f>
        <v>4</v>
      </c>
      <c r="D26" s="297" t="s">
        <v>122</v>
      </c>
      <c r="E26" s="305" t="s">
        <v>122</v>
      </c>
      <c r="F26" s="293" t="s">
        <v>122</v>
      </c>
      <c r="G26" s="311" t="s">
        <v>122</v>
      </c>
      <c r="H26" s="305" t="s">
        <v>78</v>
      </c>
      <c r="I26" s="295" t="s">
        <v>78</v>
      </c>
    </row>
    <row r="27" spans="1:14" ht="18" customHeight="1" x14ac:dyDescent="0.2">
      <c r="A27" s="2"/>
      <c r="C27" s="64">
        <f>AVERAGE(C24:C26)</f>
        <v>4</v>
      </c>
      <c r="D27" s="27">
        <f t="shared" ref="D27:I27" si="6">COUNTA(D24:D26)-COUNTIF(D24:D26, "-")</f>
        <v>3</v>
      </c>
      <c r="E27" s="27">
        <f t="shared" si="6"/>
        <v>3</v>
      </c>
      <c r="F27" s="27">
        <f t="shared" si="6"/>
        <v>3</v>
      </c>
      <c r="G27" s="27">
        <f t="shared" si="6"/>
        <v>3</v>
      </c>
      <c r="H27" s="27">
        <f t="shared" si="6"/>
        <v>0</v>
      </c>
      <c r="I27" s="27">
        <f t="shared" si="6"/>
        <v>0</v>
      </c>
    </row>
    <row r="28" spans="1:14" ht="18" customHeight="1" x14ac:dyDescent="0.2">
      <c r="A28" s="20" t="str">
        <f>OVERALL!A28</f>
        <v>ENERGY</v>
      </c>
      <c r="B28" s="21">
        <f>IF(C33=0,"-",AVERAGE(B29:B32))</f>
        <v>0.6</v>
      </c>
      <c r="C28" s="1" t="s">
        <v>1</v>
      </c>
      <c r="D28" s="29">
        <f>IF(D33=0,"-",(COUNTIF(D29:D32, "y")/D33)*OVERALL!$C$28)</f>
        <v>0.2</v>
      </c>
      <c r="E28" s="29">
        <f>IF(E33=0,"-",(COUNTIF(E29:E32, "y")/E33)*OVERALL!$C$28)</f>
        <v>0.1</v>
      </c>
      <c r="F28" s="29">
        <f>IF(F33=0,"-",(COUNTIF(F29:F32, "y")/F33)*OVERALL!$C$28)</f>
        <v>0.05</v>
      </c>
      <c r="G28" s="29">
        <f>IF(G33=0,"-",(COUNTIF(G29:G32, "y")/G33)*OVERALL!$C$28)</f>
        <v>0.1</v>
      </c>
      <c r="H28" s="29" t="str">
        <f>IF(H33=0,"-",(COUNTIF(H29:H32, "y")/H33)*OVERALL!$C$28)</f>
        <v>-</v>
      </c>
      <c r="I28" s="29">
        <f>IF(I33=0,"-",(COUNTIF(I29:I32, "y")/I33)*OVERALL!$C$28)</f>
        <v>0.15000000000000002</v>
      </c>
    </row>
    <row r="29" spans="1:14" ht="18" customHeight="1" x14ac:dyDescent="0.2">
      <c r="A29" s="33" t="str">
        <f>OVERALL!A29</f>
        <v>VIBRANCY</v>
      </c>
      <c r="B29" s="3">
        <f>IF(C29=0,"-",COUNTIF(D29:I29,"y")/C29)</f>
        <v>0.8</v>
      </c>
      <c r="C29" s="26">
        <f>$C$2-COUNTIF(D29:I29, "-")</f>
        <v>5</v>
      </c>
      <c r="D29" s="297" t="s">
        <v>122</v>
      </c>
      <c r="E29" s="305" t="s">
        <v>122</v>
      </c>
      <c r="F29" s="293" t="s">
        <v>122</v>
      </c>
      <c r="G29" s="311" t="s">
        <v>121</v>
      </c>
      <c r="H29" s="305" t="s">
        <v>78</v>
      </c>
      <c r="I29" s="295" t="s">
        <v>122</v>
      </c>
    </row>
    <row r="30" spans="1:14" ht="18" customHeight="1" x14ac:dyDescent="0.2">
      <c r="A30" s="33" t="str">
        <f>OVERALL!A30</f>
        <v>EMPATHY</v>
      </c>
      <c r="B30" s="3">
        <f>IF(C30=0,"-",COUNTIF(D30:I30,"y")/C30)</f>
        <v>0.6</v>
      </c>
      <c r="C30" s="26">
        <f>$C$2-COUNTIF(D30:I30, "-")</f>
        <v>5</v>
      </c>
      <c r="D30" s="297" t="s">
        <v>122</v>
      </c>
      <c r="E30" s="305" t="s">
        <v>121</v>
      </c>
      <c r="F30" s="293" t="s">
        <v>121</v>
      </c>
      <c r="G30" s="311" t="s">
        <v>122</v>
      </c>
      <c r="H30" s="305" t="s">
        <v>78</v>
      </c>
      <c r="I30" s="295" t="s">
        <v>122</v>
      </c>
    </row>
    <row r="31" spans="1:14" ht="18" customHeight="1" x14ac:dyDescent="0.2">
      <c r="A31" s="33" t="str">
        <f>OVERALL!A31</f>
        <v>CONTROL</v>
      </c>
      <c r="B31" s="3">
        <f>IF(C31=0,"-",COUNTIF(D31:I31,"y")/C31)</f>
        <v>0.6</v>
      </c>
      <c r="C31" s="26">
        <f>$C$2-COUNTIF(D31:I31, "-")</f>
        <v>5</v>
      </c>
      <c r="D31" s="297" t="s">
        <v>122</v>
      </c>
      <c r="E31" s="305" t="s">
        <v>122</v>
      </c>
      <c r="F31" s="293" t="s">
        <v>121</v>
      </c>
      <c r="G31" s="311" t="s">
        <v>121</v>
      </c>
      <c r="H31" s="305" t="s">
        <v>78</v>
      </c>
      <c r="I31" s="295" t="s">
        <v>122</v>
      </c>
    </row>
    <row r="32" spans="1:14" ht="18" customHeight="1" x14ac:dyDescent="0.2">
      <c r="A32" s="33" t="str">
        <f>OVERALL!A32</f>
        <v>CLARITY</v>
      </c>
      <c r="B32" s="3">
        <f>IF(C32=0,"-",COUNTIF(D32:I32,"y")/C32)</f>
        <v>0.4</v>
      </c>
      <c r="C32" s="26">
        <f>$C$2-COUNTIF(D32:I32, "-")</f>
        <v>5</v>
      </c>
      <c r="D32" s="297" t="s">
        <v>122</v>
      </c>
      <c r="E32" s="305" t="s">
        <v>121</v>
      </c>
      <c r="F32" s="293" t="s">
        <v>121</v>
      </c>
      <c r="G32" s="311" t="s">
        <v>122</v>
      </c>
      <c r="H32" s="305" t="s">
        <v>78</v>
      </c>
      <c r="I32" s="295" t="s">
        <v>121</v>
      </c>
      <c r="N32" t="s">
        <v>1</v>
      </c>
    </row>
    <row r="33" spans="1:16" ht="18" customHeight="1" x14ac:dyDescent="0.2">
      <c r="A33" s="5"/>
      <c r="B33" s="6"/>
      <c r="C33" s="64">
        <f>AVERAGE(C29:C32)</f>
        <v>5</v>
      </c>
      <c r="D33" s="27">
        <f t="shared" ref="D33:I33" si="7">COUNTA(D29:D32)-COUNTIF(D29:D32, "-")</f>
        <v>4</v>
      </c>
      <c r="E33" s="27">
        <f t="shared" si="7"/>
        <v>4</v>
      </c>
      <c r="F33" s="27">
        <f t="shared" si="7"/>
        <v>4</v>
      </c>
      <c r="G33" s="27">
        <f t="shared" si="7"/>
        <v>4</v>
      </c>
      <c r="H33" s="27">
        <f t="shared" si="7"/>
        <v>0</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5</v>
      </c>
      <c r="D35" s="297" t="s">
        <v>121</v>
      </c>
      <c r="E35" s="305" t="s">
        <v>121</v>
      </c>
      <c r="F35" s="293" t="s">
        <v>121</v>
      </c>
      <c r="G35" s="311" t="s">
        <v>121</v>
      </c>
      <c r="H35" s="305" t="s">
        <v>78</v>
      </c>
      <c r="I35" s="295" t="s">
        <v>121</v>
      </c>
      <c r="K35" s="48">
        <v>-0.3</v>
      </c>
      <c r="M35" s="48"/>
      <c r="N35" s="48"/>
      <c r="O35" s="48"/>
    </row>
    <row r="36" spans="1:16" ht="18" customHeight="1" x14ac:dyDescent="0.2">
      <c r="A36" s="45" t="str">
        <f>OVERALL!A36</f>
        <v>AUDIO ISSUE (DISTRACTION)</v>
      </c>
      <c r="B36" s="3">
        <f>IF(C36=0,"-",COUNTIF(D36:I36,"y")/C36)</f>
        <v>0</v>
      </c>
      <c r="C36" s="26">
        <f>$C$2-COUNTIF(D36:I36, "-")</f>
        <v>5</v>
      </c>
      <c r="D36" s="297" t="s">
        <v>121</v>
      </c>
      <c r="E36" s="305" t="s">
        <v>121</v>
      </c>
      <c r="F36" s="293" t="s">
        <v>121</v>
      </c>
      <c r="G36" s="311" t="s">
        <v>121</v>
      </c>
      <c r="H36" s="305" t="s">
        <v>78</v>
      </c>
      <c r="I36" s="295" t="s">
        <v>121</v>
      </c>
      <c r="K36" s="48">
        <v>-0.1</v>
      </c>
      <c r="M36" s="48"/>
      <c r="N36" s="48"/>
      <c r="O36" s="48"/>
    </row>
    <row r="37" spans="1:16" ht="18" customHeight="1" x14ac:dyDescent="0.2">
      <c r="A37" s="5"/>
      <c r="B37" s="6"/>
      <c r="C37" s="64">
        <f>C35</f>
        <v>5</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3" t="str">
        <f>OVERALL!A38</f>
        <v>ADDITIONAL INSIGHT</v>
      </c>
      <c r="B38" s="354"/>
      <c r="C38" s="10" t="s">
        <v>1</v>
      </c>
      <c r="D38" s="30"/>
      <c r="E38" s="30"/>
      <c r="F38" s="30"/>
      <c r="G38" s="30"/>
      <c r="H38" s="30"/>
      <c r="I38" s="30"/>
    </row>
    <row r="39" spans="1:16" ht="18" customHeight="1" x14ac:dyDescent="0.2">
      <c r="A39" s="33" t="str">
        <f>OVERALL!A39</f>
        <v>CALL ANSWERED-QUALITY</v>
      </c>
      <c r="B39" s="3">
        <f>IF(C39=0,"-",COUNTIF(D39:I39, "y")/C39)</f>
        <v>0.83333333333333337</v>
      </c>
      <c r="C39" s="26">
        <f t="shared" ref="C39:C45" si="10">$C$2-COUNTIF(D39:I39, "-")</f>
        <v>6</v>
      </c>
      <c r="D39" s="297" t="s">
        <v>122</v>
      </c>
      <c r="E39" s="305" t="s">
        <v>122</v>
      </c>
      <c r="F39" s="293" t="s">
        <v>122</v>
      </c>
      <c r="G39" s="311" t="s">
        <v>122</v>
      </c>
      <c r="H39" s="305" t="s">
        <v>121</v>
      </c>
      <c r="I39" s="295" t="s">
        <v>122</v>
      </c>
    </row>
    <row r="40" spans="1:16" ht="18" customHeight="1" x14ac:dyDescent="0.2">
      <c r="A40" s="33" t="str">
        <f>OVERALL!A40</f>
        <v>TALK TIME</v>
      </c>
      <c r="B40" s="283">
        <f>IF(C40=0,"-",AVERAGE(D40:I40))</f>
        <v>4.9652777777777777E-3</v>
      </c>
      <c r="C40" s="26">
        <f t="shared" si="10"/>
        <v>5</v>
      </c>
      <c r="D40" s="287">
        <v>5.5787037037037038E-3</v>
      </c>
      <c r="E40" s="287">
        <v>6.5624999999999998E-3</v>
      </c>
      <c r="F40" s="287">
        <v>5.4976851851851853E-3</v>
      </c>
      <c r="G40" s="287">
        <v>4.1319444444444442E-3</v>
      </c>
      <c r="H40" s="307" t="s">
        <v>78</v>
      </c>
      <c r="I40" s="287">
        <v>3.0555555555555557E-3</v>
      </c>
      <c r="J40" s="46"/>
      <c r="K40" s="267"/>
      <c r="L40" s="267"/>
      <c r="M40" s="267"/>
      <c r="N40" s="267"/>
      <c r="O40" s="267"/>
      <c r="P40" s="267"/>
    </row>
    <row r="41" spans="1:16" ht="18" customHeight="1" x14ac:dyDescent="0.2">
      <c r="A41" s="33" t="str">
        <f>OVERALL!A41</f>
        <v>ASSESSOR RATING (0-10)</v>
      </c>
      <c r="B41" s="289">
        <f>IF(C41=0,"-",SUM(D41:I41)/C41)</f>
        <v>4.8</v>
      </c>
      <c r="C41" s="26">
        <f t="shared" si="10"/>
        <v>5</v>
      </c>
      <c r="D41" s="291">
        <v>6</v>
      </c>
      <c r="E41" s="291">
        <v>5</v>
      </c>
      <c r="F41" s="291">
        <v>4</v>
      </c>
      <c r="G41" s="291">
        <v>4</v>
      </c>
      <c r="H41" s="308" t="s">
        <v>78</v>
      </c>
      <c r="I41" s="291">
        <v>5</v>
      </c>
    </row>
    <row r="42" spans="1:16" ht="18" customHeight="1" x14ac:dyDescent="0.2">
      <c r="A42" s="33" t="str">
        <f>OVERALL!A42</f>
        <v>EXPLAINED KEY FEATURES</v>
      </c>
      <c r="B42" s="3">
        <f>IF(C42=0,"-",COUNTIF(D42:I42, "y")/C42)</f>
        <v>1</v>
      </c>
      <c r="C42" s="26">
        <f t="shared" si="10"/>
        <v>5</v>
      </c>
      <c r="D42" s="297" t="s">
        <v>122</v>
      </c>
      <c r="E42" s="305" t="s">
        <v>122</v>
      </c>
      <c r="F42" s="293" t="s">
        <v>122</v>
      </c>
      <c r="G42" s="311" t="s">
        <v>122</v>
      </c>
      <c r="H42" s="305" t="s">
        <v>78</v>
      </c>
      <c r="I42" s="295" t="s">
        <v>122</v>
      </c>
      <c r="J42" s="47"/>
      <c r="K42" t="s">
        <v>1</v>
      </c>
    </row>
    <row r="43" spans="1:16" ht="18" customHeight="1" x14ac:dyDescent="0.2">
      <c r="A43" s="33" t="str">
        <f>OVERALL!A43</f>
        <v>REVEALED PRICING</v>
      </c>
      <c r="B43" s="3">
        <f>IF(C43=0,"-",COUNTIF(D43:I43, "y")/C43)</f>
        <v>1</v>
      </c>
      <c r="C43" s="26">
        <f t="shared" si="10"/>
        <v>5</v>
      </c>
      <c r="D43" s="297" t="s">
        <v>122</v>
      </c>
      <c r="E43" s="305" t="s">
        <v>122</v>
      </c>
      <c r="F43" s="293" t="s">
        <v>122</v>
      </c>
      <c r="G43" s="311" t="s">
        <v>122</v>
      </c>
      <c r="H43" s="305" t="s">
        <v>78</v>
      </c>
      <c r="I43" s="295" t="s">
        <v>122</v>
      </c>
    </row>
    <row r="44" spans="1:16" ht="18" customHeight="1" x14ac:dyDescent="0.2">
      <c r="A44" s="33" t="str">
        <f>OVERALL!A44</f>
        <v>EXPLAINED ACTIONS &amp; PROCESS</v>
      </c>
      <c r="B44" s="3">
        <f>IF(C44=0,"-",COUNTIF(D44:I44, "y")/C44)</f>
        <v>1</v>
      </c>
      <c r="C44" s="26">
        <f t="shared" si="10"/>
        <v>4</v>
      </c>
      <c r="D44" s="297" t="s">
        <v>122</v>
      </c>
      <c r="E44" s="305" t="s">
        <v>122</v>
      </c>
      <c r="F44" s="293" t="s">
        <v>122</v>
      </c>
      <c r="G44" s="311" t="s">
        <v>122</v>
      </c>
      <c r="H44" s="305" t="s">
        <v>78</v>
      </c>
      <c r="I44" s="295" t="s">
        <v>78</v>
      </c>
      <c r="K44" s="292" t="s">
        <v>120</v>
      </c>
    </row>
    <row r="45" spans="1:16" ht="18" customHeight="1" x14ac:dyDescent="0.2">
      <c r="A45" s="33" t="str">
        <f>OVERALL!A45</f>
        <v>WEBSITE EDUCATION</v>
      </c>
      <c r="B45" s="3">
        <f>IF(C45=0,"-",COUNTIF(D45:I45, "y")/C45)</f>
        <v>0</v>
      </c>
      <c r="C45" s="26">
        <f t="shared" si="10"/>
        <v>4</v>
      </c>
      <c r="D45" s="297" t="s">
        <v>121</v>
      </c>
      <c r="E45" s="305" t="s">
        <v>121</v>
      </c>
      <c r="F45" s="293" t="s">
        <v>121</v>
      </c>
      <c r="G45" s="311" t="s">
        <v>121</v>
      </c>
      <c r="H45" s="305" t="s">
        <v>78</v>
      </c>
      <c r="I45" s="295" t="s">
        <v>78</v>
      </c>
    </row>
    <row r="46" spans="1:16" ht="18" customHeight="1" x14ac:dyDescent="0.2">
      <c r="A46" s="18"/>
      <c r="B46" s="3"/>
      <c r="C46" s="26"/>
      <c r="D46" s="265"/>
      <c r="E46" s="265"/>
      <c r="F46" s="265"/>
      <c r="G46" s="265"/>
      <c r="H46" s="265"/>
      <c r="I46" s="265"/>
    </row>
    <row r="47" spans="1:16" ht="195" x14ac:dyDescent="0.2">
      <c r="A47" s="25" t="s">
        <v>1</v>
      </c>
      <c r="B47" s="355" t="s">
        <v>36</v>
      </c>
      <c r="C47" s="356"/>
      <c r="D47" s="23" t="s">
        <v>155</v>
      </c>
      <c r="E47" s="23" t="s">
        <v>179</v>
      </c>
      <c r="F47" s="23" t="s">
        <v>133</v>
      </c>
      <c r="G47" s="23" t="s">
        <v>191</v>
      </c>
      <c r="H47" s="23" t="s">
        <v>156</v>
      </c>
      <c r="I47" s="23" t="s">
        <v>147</v>
      </c>
    </row>
    <row r="48" spans="1:16" ht="18" customHeight="1" x14ac:dyDescent="0.2">
      <c r="A48" s="60" t="s">
        <v>48</v>
      </c>
      <c r="D48" s="51">
        <f t="shared" ref="D48:I48" si="11">IF(D$2="","",IF(D$39="n", "", SUM(D$6,D$12,D$17,D$23,D$28,D$34)))</f>
        <v>0.65416666666666667</v>
      </c>
      <c r="E48" s="51">
        <f t="shared" si="11"/>
        <v>0.45416666666666672</v>
      </c>
      <c r="F48" s="51">
        <f t="shared" si="11"/>
        <v>0.45416666666666666</v>
      </c>
      <c r="G48" s="51">
        <f t="shared" si="11"/>
        <v>0.45416666666666661</v>
      </c>
      <c r="H48" s="51" t="str">
        <f t="shared" si="11"/>
        <v/>
      </c>
      <c r="I48" s="51">
        <f t="shared" si="11"/>
        <v>0.48333333333333339</v>
      </c>
    </row>
    <row r="50" spans="1:9" ht="19" x14ac:dyDescent="0.25">
      <c r="A50" s="111" t="s">
        <v>75</v>
      </c>
      <c r="B50" s="91" t="s">
        <v>76</v>
      </c>
    </row>
    <row r="51" spans="1:9" x14ac:dyDescent="0.2">
      <c r="A51" s="112" t="s">
        <v>64</v>
      </c>
      <c r="B51" s="113">
        <v>0.3</v>
      </c>
      <c r="C51" s="112"/>
      <c r="D51" s="257">
        <f>[1]MOMENTUM!D$4</f>
        <v>0.79</v>
      </c>
      <c r="E51" s="257">
        <f>[1]MOMENTUM!E$4</f>
        <v>0.44124999999999998</v>
      </c>
      <c r="F51" s="257">
        <f>[1]MOMENTUM!F$4</f>
        <v>0.42785714285714288</v>
      </c>
      <c r="G51" s="257">
        <f>[1]MOMENTUM!G$4</f>
        <v>0.79</v>
      </c>
      <c r="H51" s="257">
        <f>[1]MOMENTUM!H$4</f>
        <v>0</v>
      </c>
      <c r="I51" s="257">
        <f>[1]MOMENTUM!I$4</f>
        <v>0.69750000000000001</v>
      </c>
    </row>
    <row r="52" spans="1:9" x14ac:dyDescent="0.2">
      <c r="A52" s="112" t="s">
        <v>65</v>
      </c>
      <c r="B52" s="113">
        <v>0.7</v>
      </c>
      <c r="C52" s="112"/>
      <c r="D52" s="258">
        <f t="shared" ref="D52:I52" si="12">D4</f>
        <v>0.65416666666666667</v>
      </c>
      <c r="E52" s="258">
        <f t="shared" si="12"/>
        <v>0.45416666666666672</v>
      </c>
      <c r="F52" s="258">
        <f t="shared" si="12"/>
        <v>0.45416666666666666</v>
      </c>
      <c r="G52" s="258">
        <f t="shared" si="12"/>
        <v>0.45416666666666661</v>
      </c>
      <c r="H52" s="258" t="str">
        <f t="shared" si="12"/>
        <v>-</v>
      </c>
      <c r="I52" s="258">
        <f t="shared" si="12"/>
        <v>0.48333333333333339</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0.23699999999999999</v>
      </c>
      <c r="E55" s="258">
        <f t="shared" ref="E55:I55" si="13">IF(E51="-","-",E51*$B$51)</f>
        <v>0.13237499999999999</v>
      </c>
      <c r="F55" s="258">
        <f t="shared" si="13"/>
        <v>0.12835714285714286</v>
      </c>
      <c r="G55" s="258">
        <f t="shared" si="13"/>
        <v>0.23699999999999999</v>
      </c>
      <c r="H55" s="258">
        <f t="shared" si="13"/>
        <v>0</v>
      </c>
      <c r="I55" s="258">
        <f t="shared" si="13"/>
        <v>0.20924999999999999</v>
      </c>
    </row>
    <row r="56" spans="1:9" x14ac:dyDescent="0.2">
      <c r="A56" s="112" t="s">
        <v>65</v>
      </c>
      <c r="B56" s="112"/>
      <c r="C56" s="112"/>
      <c r="D56" s="258">
        <f t="shared" ref="D56:I56" si="14">IF(D52="-","-",D52*$B$52)</f>
        <v>0.45791666666666664</v>
      </c>
      <c r="E56" s="258">
        <f t="shared" si="14"/>
        <v>0.31791666666666668</v>
      </c>
      <c r="F56" s="258">
        <f t="shared" si="14"/>
        <v>0.31791666666666663</v>
      </c>
      <c r="G56" s="258">
        <f t="shared" si="14"/>
        <v>0.31791666666666663</v>
      </c>
      <c r="H56" s="258" t="str">
        <f t="shared" si="14"/>
        <v>-</v>
      </c>
      <c r="I56" s="258">
        <f t="shared" si="14"/>
        <v>0.33833333333333337</v>
      </c>
    </row>
    <row r="57" spans="1:9" x14ac:dyDescent="0.2">
      <c r="A57" s="115" t="s">
        <v>60</v>
      </c>
      <c r="B57" s="115"/>
      <c r="C57" s="115"/>
      <c r="D57" s="116">
        <f t="shared" ref="D57:I57" si="15">IF(D51="","",IF(D52="","",SUM(D55:D56)))</f>
        <v>0.69491666666666663</v>
      </c>
      <c r="E57" s="116">
        <f t="shared" si="15"/>
        <v>0.45029166666666665</v>
      </c>
      <c r="F57" s="116">
        <f t="shared" si="15"/>
        <v>0.44627380952380946</v>
      </c>
      <c r="G57" s="116">
        <f t="shared" si="15"/>
        <v>0.55491666666666661</v>
      </c>
      <c r="H57" s="116">
        <f t="shared" si="15"/>
        <v>0</v>
      </c>
      <c r="I57" s="116">
        <f t="shared" si="15"/>
        <v>0.54758333333333331</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Z2" sqref="Z2"/>
    </sheetView>
  </sheetViews>
  <sheetFormatPr baseColWidth="10" defaultColWidth="8.83203125" defaultRowHeight="16" x14ac:dyDescent="0.2"/>
  <sheetData>
    <row r="1" spans="1:37" x14ac:dyDescent="0.2">
      <c r="A1" t="s">
        <v>86</v>
      </c>
      <c r="B1" s="266" t="s">
        <v>88</v>
      </c>
      <c r="C1" s="266" t="s">
        <v>89</v>
      </c>
      <c r="D1" s="266" t="s">
        <v>53</v>
      </c>
      <c r="E1" s="266" t="s">
        <v>18</v>
      </c>
      <c r="F1" s="266" t="s">
        <v>19</v>
      </c>
      <c r="G1" s="266" t="s">
        <v>20</v>
      </c>
      <c r="H1" s="266" t="s">
        <v>21</v>
      </c>
      <c r="I1" s="266" t="s">
        <v>54</v>
      </c>
      <c r="J1" s="266" t="s">
        <v>22</v>
      </c>
      <c r="K1" s="266" t="s">
        <v>23</v>
      </c>
      <c r="L1" s="266" t="s">
        <v>24</v>
      </c>
      <c r="M1" s="266" t="s">
        <v>55</v>
      </c>
      <c r="N1" s="266" t="s">
        <v>25</v>
      </c>
      <c r="O1" s="266" t="s">
        <v>28</v>
      </c>
      <c r="P1" s="266" t="s">
        <v>26</v>
      </c>
      <c r="Q1" s="266" t="s">
        <v>27</v>
      </c>
      <c r="R1" s="266" t="s">
        <v>56</v>
      </c>
      <c r="S1" s="266" t="s">
        <v>30</v>
      </c>
      <c r="T1" s="266" t="s">
        <v>29</v>
      </c>
      <c r="U1" s="266" t="s">
        <v>31</v>
      </c>
      <c r="V1" s="266" t="s">
        <v>57</v>
      </c>
      <c r="W1" s="266" t="s">
        <v>32</v>
      </c>
      <c r="X1" s="266" t="s">
        <v>33</v>
      </c>
      <c r="Y1" s="266" t="s">
        <v>34</v>
      </c>
      <c r="Z1" s="266" t="s">
        <v>197</v>
      </c>
      <c r="AA1" s="266" t="s">
        <v>80</v>
      </c>
      <c r="AB1" s="266" t="s">
        <v>58</v>
      </c>
      <c r="AC1" s="266" t="s">
        <v>59</v>
      </c>
      <c r="AD1" s="266" t="s">
        <v>87</v>
      </c>
      <c r="AE1" s="266" t="s">
        <v>41</v>
      </c>
      <c r="AF1" s="266" t="s">
        <v>40</v>
      </c>
      <c r="AG1" s="266" t="s">
        <v>37</v>
      </c>
      <c r="AH1" s="266" t="s">
        <v>38</v>
      </c>
      <c r="AI1" s="266" t="s">
        <v>39</v>
      </c>
      <c r="AJ1" s="266" t="s">
        <v>85</v>
      </c>
      <c r="AK1" s="266" t="s">
        <v>81</v>
      </c>
    </row>
    <row r="2" spans="1:37" x14ac:dyDescent="0.2">
      <c r="A2" t="str">
        <f>IF(LEN(REPORT!A5)&gt;2,REPORT!A5,"")</f>
        <v>AGL</v>
      </c>
      <c r="B2">
        <f>IFERROR(INDEX(REPORT!$A$2:$BZ$100,MATCH($A2,REPORT!$A$2:$A$100,0),MATCH(B$1,REPORT!$A$2:$BZ$2,0)),"")</f>
        <v>0.41904166666666665</v>
      </c>
      <c r="C2">
        <f>IFERROR(INDEX(REPORT!$A$2:$BZ$100,MATCH($A2,REPORT!$A$2:$A$100,0),MATCH(C$1,REPORT!$A$2:$BZ$2,0)),"")</f>
        <v>0.40833333333333338</v>
      </c>
      <c r="D2">
        <f>IFERROR(INDEX(REPORT!$A$4:$BZ$100,MATCH($A2,REPORT!$A$4:$A$100,0),MATCH(D$1,REPORT!$A$4:$BZ$4,0)),"")</f>
        <v>0.33333333333333337</v>
      </c>
      <c r="E2">
        <f>IFERROR(INDEX(REPORT!$A$4:$BZ$100,MATCH($A2,REPORT!$A$4:$A$100,0),MATCH(E$1,REPORT!$A$4:$BZ$4,0)),"")</f>
        <v>0.83333333333333337</v>
      </c>
      <c r="F2">
        <f>IFERROR(INDEX(REPORT!$A$4:$BZ$100,MATCH($A2,REPORT!$A$4:$A$100,0),MATCH(F$1,REPORT!$A$4:$BZ$4,0)),"")</f>
        <v>0.33333333333333331</v>
      </c>
      <c r="G2">
        <f>IFERROR(INDEX(REPORT!$A$4:$BZ$100,MATCH($A2,REPORT!$A$4:$A$100,0),MATCH(G$1,REPORT!$A$4:$BZ$4,0)),"")</f>
        <v>0.16666666666666666</v>
      </c>
      <c r="H2">
        <f>IFERROR(INDEX(REPORT!$A$4:$BZ$100,MATCH($A2,REPORT!$A$4:$A$100,0),MATCH(H$1,REPORT!$A$4:$BZ$4,0)),"")</f>
        <v>0</v>
      </c>
      <c r="I2">
        <f>IFERROR(INDEX(REPORT!$A$4:$BZ$100,MATCH($A2,REPORT!$A$4:$A$100,0),MATCH(I$1,REPORT!$A$4:$BZ$4,0)),"")</f>
        <v>0.33333333333333331</v>
      </c>
      <c r="J2">
        <f>IFERROR(INDEX(REPORT!$A$4:$BZ$100,MATCH($A2,REPORT!$A$4:$A$100,0),MATCH(J$1,REPORT!$A$4:$BZ$4,0)),"")</f>
        <v>0</v>
      </c>
      <c r="K2">
        <f>IFERROR(INDEX(REPORT!$A$4:$BZ$100,MATCH($A2,REPORT!$A$4:$A$100,0),MATCH(K$1,REPORT!$A$4:$BZ$4,0)),"")</f>
        <v>1</v>
      </c>
      <c r="L2">
        <f>IFERROR(INDEX(REPORT!$A$4:$BZ$100,MATCH($A2,REPORT!$A$4:$A$100,0),MATCH(L$1,REPORT!$A$4:$BZ$4,0)),"")</f>
        <v>0</v>
      </c>
      <c r="M2">
        <f>IFERROR(INDEX(REPORT!$A$4:$BZ$100,MATCH($A2,REPORT!$A$4:$A$100,0),MATCH(M$1,REPORT!$A$4:$BZ$4,0)),"")</f>
        <v>0.66666666666666663</v>
      </c>
      <c r="N2">
        <f>IFERROR(INDEX(REPORT!$A$4:$BZ$100,MATCH($A2,REPORT!$A$4:$A$100,0),MATCH(N$1,REPORT!$A$4:$BZ$4,0)),"")</f>
        <v>0.5</v>
      </c>
      <c r="O2">
        <f>IFERROR(INDEX(REPORT!$A$4:$BZ$100,MATCH($A2,REPORT!$A$4:$A$100,0),MATCH(O$1,REPORT!$A$4:$BZ$4,0)),"")</f>
        <v>0.16666666666666666</v>
      </c>
      <c r="P2">
        <f>IFERROR(INDEX(REPORT!$A$4:$BZ$100,MATCH($A2,REPORT!$A$4:$A$100,0),MATCH(P$1,REPORT!$A$4:$BZ$4,0)),"")</f>
        <v>1</v>
      </c>
      <c r="Q2">
        <f>IFERROR(INDEX(REPORT!$A$4:$BZ$100,MATCH($A2,REPORT!$A$4:$A$100,0),MATCH(Q$1,REPORT!$A$4:$BZ$4,0)),"")</f>
        <v>1</v>
      </c>
      <c r="R2">
        <f>IFERROR(INDEX(REPORT!$A$4:$BZ$100,MATCH($A2,REPORT!$A$4:$A$100,0),MATCH(R$1,REPORT!$A$4:$BZ$4,0)),"")</f>
        <v>0.33333333333333331</v>
      </c>
      <c r="S2">
        <f>IFERROR(INDEX(REPORT!$A$4:$BZ$100,MATCH($A2,REPORT!$A$4:$A$100,0),MATCH(S$1,REPORT!$A$4:$BZ$4,0)),"")</f>
        <v>0.33333333333333331</v>
      </c>
      <c r="T2">
        <f>IFERROR(INDEX(REPORT!$A$4:$BZ$100,MATCH($A2,REPORT!$A$4:$A$100,0),MATCH(T$1,REPORT!$A$4:$BZ$4,0)),"")</f>
        <v>0.16666666666666666</v>
      </c>
      <c r="U2">
        <f>IFERROR(INDEX(REPORT!$A$4:$BZ$100,MATCH($A2,REPORT!$A$4:$A$100,0),MATCH(U$1,REPORT!$A$4:$BZ$4,0)),"")</f>
        <v>0.5</v>
      </c>
      <c r="V2">
        <f>IFERROR(INDEX(REPORT!$A$4:$BZ$100,MATCH($A2,REPORT!$A$4:$A$100,0),MATCH(V$1,REPORT!$A$4:$BZ$4,0)),"")</f>
        <v>0.29166666666666663</v>
      </c>
      <c r="W2">
        <f>IFERROR(INDEX(REPORT!$A$4:$BZ$100,MATCH($A2,REPORT!$A$4:$A$100,0),MATCH(W$1,REPORT!$A$4:$BZ$4,0)),"")</f>
        <v>0.66666666666666663</v>
      </c>
      <c r="X2">
        <f>IFERROR(INDEX(REPORT!$A$4:$BZ$100,MATCH($A2,REPORT!$A$4:$A$100,0),MATCH(X$1,REPORT!$A$4:$BZ$4,0)),"")</f>
        <v>0</v>
      </c>
      <c r="Y2">
        <f>IFERROR(INDEX(REPORT!$A$4:$BZ$100,MATCH($A2,REPORT!$A$4:$A$100,0),MATCH(Y$1,REPORT!$A$4:$BZ$4,0)),"")</f>
        <v>0</v>
      </c>
      <c r="Z2">
        <f>IFERROR(INDEX(REPORT!$A$4:$BZ$100,MATCH($A2,REPORT!$A$4:$A$100,0),MATCH(Z$1,REPORT!$A$4:$BZ$4,0)),"")</f>
        <v>0.5</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4.5331790123456792E-3</v>
      </c>
      <c r="AF2">
        <f>IFERROR(INDEX(REPORT!$A$4:$BZ$100,MATCH($A2,REPORT!$A$4:$A$100,0),MATCH(AF$1,REPORT!$A$4:$BZ$4,0)),"")</f>
        <v>3.8333333333333335</v>
      </c>
      <c r="AG2">
        <f>IFERROR(INDEX(REPORT!$A$4:$BZ$100,MATCH($A2,REPORT!$A$4:$A$100,0),MATCH(AG$1,REPORT!$A$4:$BZ$4,0)),"")</f>
        <v>0.16666666666666666</v>
      </c>
      <c r="AH2">
        <f>IFERROR(INDEX(REPORT!$A$4:$BZ$100,MATCH($A2,REPORT!$A$4:$A$100,0),MATCH(AH$1,REPORT!$A$4:$BZ$4,0)),"")</f>
        <v>0.83333333333333337</v>
      </c>
      <c r="AI2">
        <f>IFERROR(INDEX(REPORT!$A$4:$BZ$100,MATCH($A2,REPORT!$A$4:$A$100,0),MATCH(AI$1,REPORT!$A$4:$BZ$4,0)),"")</f>
        <v>0.33333333333333331</v>
      </c>
      <c r="AJ2">
        <f>IFERROR(INDEX(REPORT!$A$4:$BZ$100,MATCH($A2,REPORT!$A$4:$A$100,0),MATCH(AJ$1,REPORT!$A$4:$BZ$4,0)),"")</f>
        <v>0</v>
      </c>
      <c r="AK2">
        <f>IFERROR(INDEX(REPORT!$A$4:$BZ$100,MATCH($A2,REPORT!$A$4:$A$100,0),MATCH(AK$1,REPORT!$A$4:$BZ$4,0)),"")</f>
        <v>5.9355709876543214E-3</v>
      </c>
    </row>
    <row r="3" spans="1:37" x14ac:dyDescent="0.2">
      <c r="A3" t="str">
        <f>IF(LEN(REPORT!A6)&gt;2,REPORT!A6,"")</f>
        <v>ALINTA</v>
      </c>
      <c r="B3">
        <f>IFERROR(INDEX(REPORT!$A$2:$BZ$100,MATCH($A3,REPORT!$A$2:$A$100,0),MATCH(B$1,REPORT!$A$2:$BZ$2,0)),"")</f>
        <v>0.57202083333333342</v>
      </c>
      <c r="C3">
        <f>IFERROR(INDEX(REPORT!$A$2:$BZ$100,MATCH($A3,REPORT!$A$2:$A$100,0),MATCH(C$1,REPORT!$A$2:$BZ$2,0)),"")</f>
        <v>0.55833333333333346</v>
      </c>
      <c r="D3">
        <f>IFERROR(INDEX(REPORT!$A$4:$BZ$100,MATCH($A3,REPORT!$A$4:$A$100,0),MATCH(D$1,REPORT!$A$4:$BZ$4,0)),"")</f>
        <v>0.375</v>
      </c>
      <c r="E3">
        <f>IFERROR(INDEX(REPORT!$A$4:$BZ$100,MATCH($A3,REPORT!$A$4:$A$100,0),MATCH(E$1,REPORT!$A$4:$BZ$4,0)),"")</f>
        <v>0.83333333333333337</v>
      </c>
      <c r="F3">
        <f>IFERROR(INDEX(REPORT!$A$4:$BZ$100,MATCH($A3,REPORT!$A$4:$A$100,0),MATCH(F$1,REPORT!$A$4:$BZ$4,0)),"")</f>
        <v>0.66666666666666663</v>
      </c>
      <c r="G3">
        <f>IFERROR(INDEX(REPORT!$A$4:$BZ$100,MATCH($A3,REPORT!$A$4:$A$100,0),MATCH(G$1,REPORT!$A$4:$BZ$4,0)),"")</f>
        <v>0</v>
      </c>
      <c r="H3">
        <f>IFERROR(INDEX(REPORT!$A$4:$BZ$100,MATCH($A3,REPORT!$A$4:$A$100,0),MATCH(H$1,REPORT!$A$4:$BZ$4,0)),"")</f>
        <v>0</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0.66666666666666663</v>
      </c>
      <c r="N3">
        <f>IFERROR(INDEX(REPORT!$A$4:$BZ$100,MATCH($A3,REPORT!$A$4:$A$100,0),MATCH(N$1,REPORT!$A$4:$BZ$4,0)),"")</f>
        <v>0.66666666666666663</v>
      </c>
      <c r="O3">
        <f>IFERROR(INDEX(REPORT!$A$4:$BZ$100,MATCH($A3,REPORT!$A$4:$A$100,0),MATCH(O$1,REPORT!$A$4:$BZ$4,0)),"")</f>
        <v>0.16666666666666666</v>
      </c>
      <c r="P3">
        <f>IFERROR(INDEX(REPORT!$A$4:$BZ$100,MATCH($A3,REPORT!$A$4:$A$100,0),MATCH(P$1,REPORT!$A$4:$BZ$4,0)),"")</f>
        <v>0.83333333333333337</v>
      </c>
      <c r="Q3">
        <f>IFERROR(INDEX(REPORT!$A$4:$BZ$100,MATCH($A3,REPORT!$A$4:$A$100,0),MATCH(Q$1,REPORT!$A$4:$BZ$4,0)),"")</f>
        <v>1</v>
      </c>
      <c r="R3">
        <f>IFERROR(INDEX(REPORT!$A$4:$BZ$100,MATCH($A3,REPORT!$A$4:$A$100,0),MATCH(R$1,REPORT!$A$4:$BZ$4,0)),"")</f>
        <v>0.66666666666666663</v>
      </c>
      <c r="S3">
        <f>IFERROR(INDEX(REPORT!$A$4:$BZ$100,MATCH($A3,REPORT!$A$4:$A$100,0),MATCH(S$1,REPORT!$A$4:$BZ$4,0)),"")</f>
        <v>0.5</v>
      </c>
      <c r="T3">
        <f>IFERROR(INDEX(REPORT!$A$4:$BZ$100,MATCH($A3,REPORT!$A$4:$A$100,0),MATCH(T$1,REPORT!$A$4:$BZ$4,0)),"")</f>
        <v>0.5</v>
      </c>
      <c r="U3">
        <f>IFERROR(INDEX(REPORT!$A$4:$BZ$100,MATCH($A3,REPORT!$A$4:$A$100,0),MATCH(U$1,REPORT!$A$4:$BZ$4,0)),"")</f>
        <v>1</v>
      </c>
      <c r="V3">
        <f>IFERROR(INDEX(REPORT!$A$4:$BZ$100,MATCH($A3,REPORT!$A$4:$A$100,0),MATCH(V$1,REPORT!$A$4:$BZ$4,0)),"")</f>
        <v>0.83333333333333337</v>
      </c>
      <c r="W3">
        <f>IFERROR(INDEX(REPORT!$A$4:$BZ$100,MATCH($A3,REPORT!$A$4:$A$100,0),MATCH(W$1,REPORT!$A$4:$BZ$4,0)),"")</f>
        <v>1</v>
      </c>
      <c r="X3">
        <f>IFERROR(INDEX(REPORT!$A$4:$BZ$100,MATCH($A3,REPORT!$A$4:$A$100,0),MATCH(X$1,REPORT!$A$4:$BZ$4,0)),"")</f>
        <v>0.66666666666666663</v>
      </c>
      <c r="Y3">
        <f>IFERROR(INDEX(REPORT!$A$4:$BZ$100,MATCH($A3,REPORT!$A$4:$A$100,0),MATCH(Y$1,REPORT!$A$4:$BZ$4,0)),"")</f>
        <v>0.83333333333333337</v>
      </c>
      <c r="Z3">
        <f>IFERROR(INDEX(REPORT!$A$4:$BZ$100,MATCH($A3,REPORT!$A$4:$A$100,0),MATCH(Z$1,REPORT!$A$4:$BZ$4,0)),"")</f>
        <v>0.83333333333333337</v>
      </c>
      <c r="AA3">
        <f>IFERROR(INDEX(REPORT!$A$4:$BZ$100,MATCH($A3,REPORT!$A$4:$A$100,0),MATCH(AA$1,REPORT!$A$4:$BZ$4,0)),"")</f>
        <v>0.16666666666666666</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3.1809413580246916E-3</v>
      </c>
      <c r="AF3">
        <f>IFERROR(INDEX(REPORT!$A$4:$BZ$100,MATCH($A3,REPORT!$A$4:$A$100,0),MATCH(AF$1,REPORT!$A$4:$BZ$4,0)),"")</f>
        <v>5.5</v>
      </c>
      <c r="AG3">
        <f>IFERROR(INDEX(REPORT!$A$4:$BZ$100,MATCH($A3,REPORT!$A$4:$A$100,0),MATCH(AG$1,REPORT!$A$4:$BZ$4,0)),"")</f>
        <v>0.4</v>
      </c>
      <c r="AH3">
        <f>IFERROR(INDEX(REPORT!$A$4:$BZ$100,MATCH($A3,REPORT!$A$4:$A$100,0),MATCH(AH$1,REPORT!$A$4:$BZ$4,0)),"")</f>
        <v>1</v>
      </c>
      <c r="AI3">
        <f>IFERROR(INDEX(REPORT!$A$4:$BZ$100,MATCH($A3,REPORT!$A$4:$A$100,0),MATCH(AI$1,REPORT!$A$4:$BZ$4,0)),"")</f>
        <v>0.66666666666666663</v>
      </c>
      <c r="AJ3">
        <f>IFERROR(INDEX(REPORT!$A$4:$BZ$100,MATCH($A3,REPORT!$A$4:$A$100,0),MATCH(AJ$1,REPORT!$A$4:$BZ$4,0)),"")</f>
        <v>0.33333333333333331</v>
      </c>
      <c r="AK3">
        <f>IFERROR(INDEX(REPORT!$A$4:$BZ$100,MATCH($A3,REPORT!$A$4:$A$100,0),MATCH(AK$1,REPORT!$A$4:$BZ$4,0)),"")</f>
        <v>4.9556327160493827E-3</v>
      </c>
    </row>
    <row r="4" spans="1:37" x14ac:dyDescent="0.2">
      <c r="A4" t="str">
        <f>IF(LEN(REPORT!A7)&gt;2,REPORT!A7,"")</f>
        <v>ENERGY AUSTRALIA</v>
      </c>
      <c r="B4">
        <f>IFERROR(INDEX(REPORT!$A$2:$BZ$100,MATCH($A4,REPORT!$A$2:$A$100,0),MATCH(B$1,REPORT!$A$2:$BZ$2,0)),"")</f>
        <v>0.64276190476190465</v>
      </c>
      <c r="C4">
        <f>IFERROR(INDEX(REPORT!$A$2:$BZ$100,MATCH($A4,REPORT!$A$2:$A$100,0),MATCH(C$1,REPORT!$A$2:$BZ$2,0)),"")</f>
        <v>0.68541666666666667</v>
      </c>
      <c r="D4">
        <f>IFERROR(INDEX(REPORT!$A$4:$BZ$100,MATCH($A4,REPORT!$A$4:$A$100,0),MATCH(D$1,REPORT!$A$4:$BZ$4,0)),"")</f>
        <v>0.75</v>
      </c>
      <c r="E4">
        <f>IFERROR(INDEX(REPORT!$A$4:$BZ$100,MATCH($A4,REPORT!$A$4:$A$100,0),MATCH(E$1,REPORT!$A$4:$BZ$4,0)),"")</f>
        <v>1</v>
      </c>
      <c r="F4">
        <f>IFERROR(INDEX(REPORT!$A$4:$BZ$100,MATCH($A4,REPORT!$A$4:$A$100,0),MATCH(F$1,REPORT!$A$4:$BZ$4,0)),"")</f>
        <v>1</v>
      </c>
      <c r="G4">
        <f>IFERROR(INDEX(REPORT!$A$4:$BZ$100,MATCH($A4,REPORT!$A$4:$A$100,0),MATCH(G$1,REPORT!$A$4:$BZ$4,0)),"")</f>
        <v>0.83333333333333337</v>
      </c>
      <c r="H4">
        <f>IFERROR(INDEX(REPORT!$A$4:$BZ$100,MATCH($A4,REPORT!$A$4:$A$100,0),MATCH(H$1,REPORT!$A$4:$BZ$4,0)),"")</f>
        <v>0.16666666666666666</v>
      </c>
      <c r="I4">
        <f>IFERROR(INDEX(REPORT!$A$4:$BZ$100,MATCH($A4,REPORT!$A$4:$A$100,0),MATCH(I$1,REPORT!$A$4:$BZ$4,0)),"")</f>
        <v>0.5</v>
      </c>
      <c r="J4">
        <f>IFERROR(INDEX(REPORT!$A$4:$BZ$100,MATCH($A4,REPORT!$A$4:$A$100,0),MATCH(J$1,REPORT!$A$4:$BZ$4,0)),"")</f>
        <v>0</v>
      </c>
      <c r="K4">
        <f>IFERROR(INDEX(REPORT!$A$4:$BZ$100,MATCH($A4,REPORT!$A$4:$A$100,0),MATCH(K$1,REPORT!$A$4:$BZ$4,0)),"")</f>
        <v>1</v>
      </c>
      <c r="L4">
        <f>IFERROR(INDEX(REPORT!$A$4:$BZ$100,MATCH($A4,REPORT!$A$4:$A$100,0),MATCH(L$1,REPORT!$A$4:$BZ$4,0)),"")</f>
        <v>0.5</v>
      </c>
      <c r="M4">
        <f>IFERROR(INDEX(REPORT!$A$4:$BZ$100,MATCH($A4,REPORT!$A$4:$A$100,0),MATCH(M$1,REPORT!$A$4:$BZ$4,0)),"")</f>
        <v>0.70833333333333326</v>
      </c>
      <c r="N4">
        <f>IFERROR(INDEX(REPORT!$A$4:$BZ$100,MATCH($A4,REPORT!$A$4:$A$100,0),MATCH(N$1,REPORT!$A$4:$BZ$4,0)),"")</f>
        <v>0.66666666666666663</v>
      </c>
      <c r="O4">
        <f>IFERROR(INDEX(REPORT!$A$4:$BZ$100,MATCH($A4,REPORT!$A$4:$A$100,0),MATCH(O$1,REPORT!$A$4:$BZ$4,0)),"")</f>
        <v>0.16666666666666666</v>
      </c>
      <c r="P4">
        <f>IFERROR(INDEX(REPORT!$A$4:$BZ$100,MATCH($A4,REPORT!$A$4:$A$100,0),MATCH(P$1,REPORT!$A$4:$BZ$4,0)),"")</f>
        <v>1</v>
      </c>
      <c r="Q4">
        <f>IFERROR(INDEX(REPORT!$A$4:$BZ$100,MATCH($A4,REPORT!$A$4:$A$100,0),MATCH(Q$1,REPORT!$A$4:$BZ$4,0)),"")</f>
        <v>1</v>
      </c>
      <c r="R4">
        <f>IFERROR(INDEX(REPORT!$A$4:$BZ$100,MATCH($A4,REPORT!$A$4:$A$100,0),MATCH(R$1,REPORT!$A$4:$BZ$4,0)),"")</f>
        <v>0.66666666666666663</v>
      </c>
      <c r="S4">
        <f>IFERROR(INDEX(REPORT!$A$4:$BZ$100,MATCH($A4,REPORT!$A$4:$A$100,0),MATCH(S$1,REPORT!$A$4:$BZ$4,0)),"")</f>
        <v>0.5</v>
      </c>
      <c r="T4">
        <f>IFERROR(INDEX(REPORT!$A$4:$BZ$100,MATCH($A4,REPORT!$A$4:$A$100,0),MATCH(T$1,REPORT!$A$4:$BZ$4,0)),"")</f>
        <v>0.5</v>
      </c>
      <c r="U4">
        <f>IFERROR(INDEX(REPORT!$A$4:$BZ$100,MATCH($A4,REPORT!$A$4:$A$100,0),MATCH(U$1,REPORT!$A$4:$BZ$4,0)),"")</f>
        <v>1</v>
      </c>
      <c r="V4">
        <f>IFERROR(INDEX(REPORT!$A$4:$BZ$100,MATCH($A4,REPORT!$A$4:$A$100,0),MATCH(V$1,REPORT!$A$4:$BZ$4,0)),"")</f>
        <v>0.79166666666666674</v>
      </c>
      <c r="W4">
        <f>IFERROR(INDEX(REPORT!$A$4:$BZ$100,MATCH($A4,REPORT!$A$4:$A$100,0),MATCH(W$1,REPORT!$A$4:$BZ$4,0)),"")</f>
        <v>0.83333333333333337</v>
      </c>
      <c r="X4">
        <f>IFERROR(INDEX(REPORT!$A$4:$BZ$100,MATCH($A4,REPORT!$A$4:$A$100,0),MATCH(X$1,REPORT!$A$4:$BZ$4,0)),"")</f>
        <v>0.66666666666666663</v>
      </c>
      <c r="Y4">
        <f>IFERROR(INDEX(REPORT!$A$4:$BZ$100,MATCH($A4,REPORT!$A$4:$A$100,0),MATCH(Y$1,REPORT!$A$4:$BZ$4,0)),"")</f>
        <v>0.83333333333333337</v>
      </c>
      <c r="Z4">
        <f>IFERROR(INDEX(REPORT!$A$4:$BZ$100,MATCH($A4,REPORT!$A$4:$A$100,0),MATCH(Z$1,REPORT!$A$4:$BZ$4,0)),"")</f>
        <v>0.83333333333333337</v>
      </c>
      <c r="AA4">
        <f>IFERROR(INDEX(REPORT!$A$4:$BZ$100,MATCH($A4,REPORT!$A$4:$A$100,0),MATCH(AA$1,REPORT!$A$4:$BZ$4,0)),"")</f>
        <v>0</v>
      </c>
      <c r="AB4">
        <f>IFERROR(INDEX(REPORT!$A$4:$BZ$100,MATCH($A4,REPORT!$A$4:$A$100,0),MATCH(AB$1,REPORT!$A$4:$BZ$4,0)),"")</f>
        <v>0</v>
      </c>
      <c r="AC4">
        <f>IFERROR(INDEX(REPORT!$A$4:$BZ$100,MATCH($A4,REPORT!$A$4:$A$100,0),MATCH(AC$1,REPORT!$A$4:$BZ$4,0)),"")</f>
        <v>0.16666666666666666</v>
      </c>
      <c r="AD4">
        <f>IFERROR(INDEX(REPORT!$A$4:$BZ$100,MATCH($A4,REPORT!$A$4:$A$100,0),MATCH(AD$1,REPORT!$A$4:$BZ$4,0)),"")</f>
        <v>1</v>
      </c>
      <c r="AE4">
        <f>IFERROR(INDEX(REPORT!$A$4:$BZ$100,MATCH($A4,REPORT!$A$4:$A$100,0),MATCH(AE$1,REPORT!$A$4:$BZ$4,0)),"")</f>
        <v>3.7943672839506177E-3</v>
      </c>
      <c r="AF4">
        <f>IFERROR(INDEX(REPORT!$A$4:$BZ$100,MATCH($A4,REPORT!$A$4:$A$100,0),MATCH(AF$1,REPORT!$A$4:$BZ$4,0)),"")</f>
        <v>6.166666666666667</v>
      </c>
      <c r="AG4">
        <f>IFERROR(INDEX(REPORT!$A$4:$BZ$100,MATCH($A4,REPORT!$A$4:$A$100,0),MATCH(AG$1,REPORT!$A$4:$BZ$4,0)),"")</f>
        <v>0.4</v>
      </c>
      <c r="AH4">
        <f>IFERROR(INDEX(REPORT!$A$4:$BZ$100,MATCH($A4,REPORT!$A$4:$A$100,0),MATCH(AH$1,REPORT!$A$4:$BZ$4,0)),"")</f>
        <v>0.8</v>
      </c>
      <c r="AI4">
        <f>IFERROR(INDEX(REPORT!$A$4:$BZ$100,MATCH($A4,REPORT!$A$4:$A$100,0),MATCH(AI$1,REPORT!$A$4:$BZ$4,0)),"")</f>
        <v>0.66666666666666663</v>
      </c>
      <c r="AJ4">
        <f>IFERROR(INDEX(REPORT!$A$4:$BZ$100,MATCH($A4,REPORT!$A$4:$A$100,0),MATCH(AJ$1,REPORT!$A$4:$BZ$4,0)),"")</f>
        <v>0</v>
      </c>
      <c r="AK4">
        <f>IFERROR(INDEX(REPORT!$A$4:$BZ$100,MATCH($A4,REPORT!$A$4:$A$100,0),MATCH(AK$1,REPORT!$A$4:$BZ$4,0)),"")</f>
        <v>6.0513117283950623E-3</v>
      </c>
    </row>
    <row r="5" spans="1:37" x14ac:dyDescent="0.2">
      <c r="A5" t="str">
        <f>IF(LEN(REPORT!A8)&gt;2,REPORT!A8,"")</f>
        <v>ORIGIN</v>
      </c>
      <c r="B5">
        <f>IFERROR(INDEX(REPORT!$A$2:$BZ$100,MATCH($A5,REPORT!$A$2:$A$100,0),MATCH(B$1,REPORT!$A$2:$BZ$2,0)),"")</f>
        <v>0.42071428571428571</v>
      </c>
      <c r="C5">
        <f>IFERROR(INDEX(REPORT!$A$2:$BZ$100,MATCH($A5,REPORT!$A$2:$A$100,0),MATCH(C$1,REPORT!$A$2:$BZ$2,0)),"")</f>
        <v>0.34583333333333333</v>
      </c>
      <c r="D5">
        <f>IFERROR(INDEX(REPORT!$A$4:$BZ$100,MATCH($A5,REPORT!$A$4:$A$100,0),MATCH(D$1,REPORT!$A$4:$BZ$4,0)),"")</f>
        <v>0.35</v>
      </c>
      <c r="E5">
        <f>IFERROR(INDEX(REPORT!$A$4:$BZ$100,MATCH($A5,REPORT!$A$4:$A$100,0),MATCH(E$1,REPORT!$A$4:$BZ$4,0)),"")</f>
        <v>1</v>
      </c>
      <c r="F5">
        <f>IFERROR(INDEX(REPORT!$A$4:$BZ$100,MATCH($A5,REPORT!$A$4:$A$100,0),MATCH(F$1,REPORT!$A$4:$BZ$4,0)),"")</f>
        <v>0.2</v>
      </c>
      <c r="G5">
        <f>IFERROR(INDEX(REPORT!$A$4:$BZ$100,MATCH($A5,REPORT!$A$4:$A$100,0),MATCH(G$1,REPORT!$A$4:$BZ$4,0)),"")</f>
        <v>0.2</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0.5625</v>
      </c>
      <c r="N5">
        <f>IFERROR(INDEX(REPORT!$A$4:$BZ$100,MATCH($A5,REPORT!$A$4:$A$100,0),MATCH(N$1,REPORT!$A$4:$BZ$4,0)),"")</f>
        <v>0.5</v>
      </c>
      <c r="O5">
        <f>IFERROR(INDEX(REPORT!$A$4:$BZ$100,MATCH($A5,REPORT!$A$4:$A$100,0),MATCH(O$1,REPORT!$A$4:$BZ$4,0)),"")</f>
        <v>0</v>
      </c>
      <c r="P5">
        <f>IFERROR(INDEX(REPORT!$A$4:$BZ$100,MATCH($A5,REPORT!$A$4:$A$100,0),MATCH(P$1,REPORT!$A$4:$BZ$4,0)),"")</f>
        <v>0.75</v>
      </c>
      <c r="Q5">
        <f>IFERROR(INDEX(REPORT!$A$4:$BZ$100,MATCH($A5,REPORT!$A$4:$A$100,0),MATCH(Q$1,REPORT!$A$4:$BZ$4,0)),"")</f>
        <v>1</v>
      </c>
      <c r="R5">
        <f>IFERROR(INDEX(REPORT!$A$4:$BZ$100,MATCH($A5,REPORT!$A$4:$A$100,0),MATCH(R$1,REPORT!$A$4:$BZ$4,0)),"")</f>
        <v>0.25</v>
      </c>
      <c r="S5">
        <f>IFERROR(INDEX(REPORT!$A$4:$BZ$100,MATCH($A5,REPORT!$A$4:$A$100,0),MATCH(S$1,REPORT!$A$4:$BZ$4,0)),"")</f>
        <v>0</v>
      </c>
      <c r="T5">
        <f>IFERROR(INDEX(REPORT!$A$4:$BZ$100,MATCH($A5,REPORT!$A$4:$A$100,0),MATCH(T$1,REPORT!$A$4:$BZ$4,0)),"")</f>
        <v>0.25</v>
      </c>
      <c r="U5">
        <f>IFERROR(INDEX(REPORT!$A$4:$BZ$100,MATCH($A5,REPORT!$A$4:$A$100,0),MATCH(U$1,REPORT!$A$4:$BZ$4,0)),"")</f>
        <v>0.5</v>
      </c>
      <c r="V5">
        <f>IFERROR(INDEX(REPORT!$A$4:$BZ$100,MATCH($A5,REPORT!$A$4:$A$100,0),MATCH(V$1,REPORT!$A$4:$BZ$4,0)),"")</f>
        <v>0.6</v>
      </c>
      <c r="W5">
        <f>IFERROR(INDEX(REPORT!$A$4:$BZ$100,MATCH($A5,REPORT!$A$4:$A$100,0),MATCH(W$1,REPORT!$A$4:$BZ$4,0)),"")</f>
        <v>1</v>
      </c>
      <c r="X5">
        <f>IFERROR(INDEX(REPORT!$A$4:$BZ$100,MATCH($A5,REPORT!$A$4:$A$100,0),MATCH(X$1,REPORT!$A$4:$BZ$4,0)),"")</f>
        <v>0.6</v>
      </c>
      <c r="Y5">
        <f>IFERROR(INDEX(REPORT!$A$4:$BZ$100,MATCH($A5,REPORT!$A$4:$A$100,0),MATCH(Y$1,REPORT!$A$4:$BZ$4,0)),"")</f>
        <v>0.2</v>
      </c>
      <c r="Z5">
        <f>IFERROR(INDEX(REPORT!$A$4:$BZ$100,MATCH($A5,REPORT!$A$4:$A$100,0),MATCH(Z$1,REPORT!$A$4:$BZ$4,0)),"")</f>
        <v>0.6</v>
      </c>
      <c r="AA5">
        <f>IFERROR(INDEX(REPORT!$A$4:$BZ$100,MATCH($A5,REPORT!$A$4:$A$100,0),MATCH(AA$1,REPORT!$A$4:$BZ$4,0)),"")</f>
        <v>0.2</v>
      </c>
      <c r="AB5">
        <f>IFERROR(INDEX(REPORT!$A$4:$BZ$100,MATCH($A5,REPORT!$A$4:$A$100,0),MATCH(AB$1,REPORT!$A$4:$BZ$4,0)),"")</f>
        <v>0</v>
      </c>
      <c r="AC5">
        <f>IFERROR(INDEX(REPORT!$A$4:$BZ$100,MATCH($A5,REPORT!$A$4:$A$100,0),MATCH(AC$1,REPORT!$A$4:$BZ$4,0)),"")</f>
        <v>0</v>
      </c>
      <c r="AD5">
        <f>IFERROR(INDEX(REPORT!$A$4:$BZ$100,MATCH($A5,REPORT!$A$4:$A$100,0),MATCH(AD$1,REPORT!$A$4:$BZ$4,0)),"")</f>
        <v>0.83333333333333337</v>
      </c>
      <c r="AE5">
        <f>IFERROR(INDEX(REPORT!$A$4:$BZ$100,MATCH($A5,REPORT!$A$4:$A$100,0),MATCH(AE$1,REPORT!$A$4:$BZ$4,0)),"")</f>
        <v>3.2962962962962963E-3</v>
      </c>
      <c r="AF5">
        <f>IFERROR(INDEX(REPORT!$A$4:$BZ$100,MATCH($A5,REPORT!$A$4:$A$100,0),MATCH(AF$1,REPORT!$A$4:$BZ$4,0)),"")</f>
        <v>3.4</v>
      </c>
      <c r="AG5">
        <f>IFERROR(INDEX(REPORT!$A$4:$BZ$100,MATCH($A5,REPORT!$A$4:$A$100,0),MATCH(AG$1,REPORT!$A$4:$BZ$4,0)),"")</f>
        <v>0.75</v>
      </c>
      <c r="AH5">
        <f>IFERROR(INDEX(REPORT!$A$4:$BZ$100,MATCH($A5,REPORT!$A$4:$A$100,0),MATCH(AH$1,REPORT!$A$4:$BZ$4,0)),"")</f>
        <v>0.75</v>
      </c>
      <c r="AI5">
        <f>IFERROR(INDEX(REPORT!$A$4:$BZ$100,MATCH($A5,REPORT!$A$4:$A$100,0),MATCH(AI$1,REPORT!$A$4:$BZ$4,0)),"")</f>
        <v>0.25</v>
      </c>
      <c r="AJ5">
        <f>IFERROR(INDEX(REPORT!$A$4:$BZ$100,MATCH($A5,REPORT!$A$4:$A$100,0),MATCH(AJ$1,REPORT!$A$4:$BZ$4,0)),"")</f>
        <v>0</v>
      </c>
      <c r="AK5">
        <f>IFERROR(INDEX(REPORT!$A$4:$BZ$100,MATCH($A5,REPORT!$A$4:$A$100,0),MATCH(AK$1,REPORT!$A$4:$BZ$4,0)),"")</f>
        <v>7.6732253086419754E-3</v>
      </c>
    </row>
    <row r="6" spans="1:37" x14ac:dyDescent="0.2">
      <c r="A6" t="str">
        <f>IF(LEN(REPORT!A9)&gt;2,REPORT!A9,"")</f>
        <v>RED ENERGY</v>
      </c>
      <c r="B6">
        <f>IFERROR(INDEX(REPORT!$A$2:$BZ$100,MATCH($A6,REPORT!$A$2:$A$100,0),MATCH(B$1,REPORT!$A$2:$BZ$2,0)),"")</f>
        <v>0.67870238095238089</v>
      </c>
      <c r="C6">
        <f>IFERROR(INDEX(REPORT!$A$2:$BZ$100,MATCH($A6,REPORT!$A$2:$A$100,0),MATCH(C$1,REPORT!$A$2:$BZ$2,0)),"")</f>
        <v>0.63666666666666671</v>
      </c>
      <c r="D6">
        <f>IFERROR(INDEX(REPORT!$A$4:$BZ$100,MATCH($A6,REPORT!$A$4:$A$100,0),MATCH(D$1,REPORT!$A$4:$BZ$4,0)),"")</f>
        <v>0.39999999999999997</v>
      </c>
      <c r="E6">
        <f>IFERROR(INDEX(REPORT!$A$4:$BZ$100,MATCH($A6,REPORT!$A$4:$A$100,0),MATCH(E$1,REPORT!$A$4:$BZ$4,0)),"")</f>
        <v>1</v>
      </c>
      <c r="F6">
        <f>IFERROR(INDEX(REPORT!$A$4:$BZ$100,MATCH($A6,REPORT!$A$4:$A$100,0),MATCH(F$1,REPORT!$A$4:$BZ$4,0)),"")</f>
        <v>0.4</v>
      </c>
      <c r="G6">
        <f>IFERROR(INDEX(REPORT!$A$4:$BZ$100,MATCH($A6,REPORT!$A$4:$A$100,0),MATCH(G$1,REPORT!$A$4:$BZ$4,0)),"")</f>
        <v>0.2</v>
      </c>
      <c r="H6">
        <f>IFERROR(INDEX(REPORT!$A$4:$BZ$100,MATCH($A6,REPORT!$A$4:$A$100,0),MATCH(H$1,REPORT!$A$4:$BZ$4,0)),"")</f>
        <v>0</v>
      </c>
      <c r="I6">
        <f>IFERROR(INDEX(REPORT!$A$4:$BZ$100,MATCH($A6,REPORT!$A$4:$A$100,0),MATCH(I$1,REPORT!$A$4:$BZ$4,0)),"")</f>
        <v>0.53333333333333333</v>
      </c>
      <c r="J6">
        <f>IFERROR(INDEX(REPORT!$A$4:$BZ$100,MATCH($A6,REPORT!$A$4:$A$100,0),MATCH(J$1,REPORT!$A$4:$BZ$4,0)),"")</f>
        <v>0.2</v>
      </c>
      <c r="K6">
        <f>IFERROR(INDEX(REPORT!$A$4:$BZ$100,MATCH($A6,REPORT!$A$4:$A$100,0),MATCH(K$1,REPORT!$A$4:$BZ$4,0)),"")</f>
        <v>1</v>
      </c>
      <c r="L6">
        <f>IFERROR(INDEX(REPORT!$A$4:$BZ$100,MATCH($A6,REPORT!$A$4:$A$100,0),MATCH(L$1,REPORT!$A$4:$BZ$4,0)),"")</f>
        <v>0.4</v>
      </c>
      <c r="M6">
        <f>IFERROR(INDEX(REPORT!$A$4:$BZ$100,MATCH($A6,REPORT!$A$4:$A$100,0),MATCH(M$1,REPORT!$A$4:$BZ$4,0)),"")</f>
        <v>0.8</v>
      </c>
      <c r="N6">
        <f>IFERROR(INDEX(REPORT!$A$4:$BZ$100,MATCH($A6,REPORT!$A$4:$A$100,0),MATCH(N$1,REPORT!$A$4:$BZ$4,0)),"")</f>
        <v>1</v>
      </c>
      <c r="O6">
        <f>IFERROR(INDEX(REPORT!$A$4:$BZ$100,MATCH($A6,REPORT!$A$4:$A$100,0),MATCH(O$1,REPORT!$A$4:$BZ$4,0)),"")</f>
        <v>0.2</v>
      </c>
      <c r="P6">
        <f>IFERROR(INDEX(REPORT!$A$4:$BZ$100,MATCH($A6,REPORT!$A$4:$A$100,0),MATCH(P$1,REPORT!$A$4:$BZ$4,0)),"")</f>
        <v>1</v>
      </c>
      <c r="Q6">
        <f>IFERROR(INDEX(REPORT!$A$4:$BZ$100,MATCH($A6,REPORT!$A$4:$A$100,0),MATCH(Q$1,REPORT!$A$4:$BZ$4,0)),"")</f>
        <v>1</v>
      </c>
      <c r="R6">
        <f>IFERROR(INDEX(REPORT!$A$4:$BZ$100,MATCH($A6,REPORT!$A$4:$A$100,0),MATCH(R$1,REPORT!$A$4:$BZ$4,0)),"")</f>
        <v>0.53333333333333333</v>
      </c>
      <c r="S6">
        <f>IFERROR(INDEX(REPORT!$A$4:$BZ$100,MATCH($A6,REPORT!$A$4:$A$100,0),MATCH(S$1,REPORT!$A$4:$BZ$4,0)),"")</f>
        <v>0.2</v>
      </c>
      <c r="T6">
        <f>IFERROR(INDEX(REPORT!$A$4:$BZ$100,MATCH($A6,REPORT!$A$4:$A$100,0),MATCH(T$1,REPORT!$A$4:$BZ$4,0)),"")</f>
        <v>0.4</v>
      </c>
      <c r="U6">
        <f>IFERROR(INDEX(REPORT!$A$4:$BZ$100,MATCH($A6,REPORT!$A$4:$A$100,0),MATCH(U$1,REPORT!$A$4:$BZ$4,0)),"")</f>
        <v>1</v>
      </c>
      <c r="V6">
        <f>IFERROR(INDEX(REPORT!$A$4:$BZ$100,MATCH($A6,REPORT!$A$4:$A$100,0),MATCH(V$1,REPORT!$A$4:$BZ$4,0)),"")</f>
        <v>0.85</v>
      </c>
      <c r="W6">
        <f>IFERROR(INDEX(REPORT!$A$4:$BZ$100,MATCH($A6,REPORT!$A$4:$A$100,0),MATCH(W$1,REPORT!$A$4:$BZ$4,0)),"")</f>
        <v>1</v>
      </c>
      <c r="X6">
        <f>IFERROR(INDEX(REPORT!$A$4:$BZ$100,MATCH($A6,REPORT!$A$4:$A$100,0),MATCH(X$1,REPORT!$A$4:$BZ$4,0)),"")</f>
        <v>1</v>
      </c>
      <c r="Y6">
        <f>IFERROR(INDEX(REPORT!$A$4:$BZ$100,MATCH($A6,REPORT!$A$4:$A$100,0),MATCH(Y$1,REPORT!$A$4:$BZ$4,0)),"")</f>
        <v>0.8</v>
      </c>
      <c r="Z6">
        <f>IFERROR(INDEX(REPORT!$A$4:$BZ$100,MATCH($A6,REPORT!$A$4:$A$100,0),MATCH(Z$1,REPORT!$A$4:$BZ$4,0)),"")</f>
        <v>0.6</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0.83333333333333337</v>
      </c>
      <c r="AE6">
        <f>IFERROR(INDEX(REPORT!$A$4:$BZ$100,MATCH($A6,REPORT!$A$4:$A$100,0),MATCH(AE$1,REPORT!$A$4:$BZ$4,0)),"")</f>
        <v>6.3541666666666659E-3</v>
      </c>
      <c r="AF6">
        <f>IFERROR(INDEX(REPORT!$A$4:$BZ$100,MATCH($A6,REPORT!$A$4:$A$100,0),MATCH(AF$1,REPORT!$A$4:$BZ$4,0)),"")</f>
        <v>6</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v>
      </c>
      <c r="AK6">
        <f>IFERROR(INDEX(REPORT!$A$4:$BZ$100,MATCH($A6,REPORT!$A$4:$A$100,0),MATCH(AK$1,REPORT!$A$4:$BZ$4,0)),"")</f>
        <v>9.5158179012345672E-3</v>
      </c>
    </row>
    <row r="7" spans="1:37" x14ac:dyDescent="0.2">
      <c r="A7" t="str">
        <f>IF(LEN(REPORT!A10)&gt;2,REPORT!A10,"")</f>
        <v>ENGIE</v>
      </c>
      <c r="B7">
        <f>IFERROR(INDEX(REPORT!$A$2:$BZ$100,MATCH($A7,REPORT!$A$2:$A$100,0),MATCH(B$1,REPORT!$A$2:$BZ$2,0)),"")</f>
        <v>0.71954861111111112</v>
      </c>
      <c r="C7">
        <f>IFERROR(INDEX(REPORT!$A$2:$BZ$100,MATCH($A7,REPORT!$A$2:$A$100,0),MATCH(C$1,REPORT!$A$2:$BZ$2,0)),"")</f>
        <v>0.61944444444444446</v>
      </c>
      <c r="D7">
        <f>IFERROR(INDEX(REPORT!$A$4:$BZ$100,MATCH($A7,REPORT!$A$4:$A$100,0),MATCH(D$1,REPORT!$A$4:$BZ$4,0)),"")</f>
        <v>0.625</v>
      </c>
      <c r="E7">
        <f>IFERROR(INDEX(REPORT!$A$4:$BZ$100,MATCH($A7,REPORT!$A$4:$A$100,0),MATCH(E$1,REPORT!$A$4:$BZ$4,0)),"")</f>
        <v>1</v>
      </c>
      <c r="F7">
        <f>IFERROR(INDEX(REPORT!$A$4:$BZ$100,MATCH($A7,REPORT!$A$4:$A$100,0),MATCH(F$1,REPORT!$A$4:$BZ$4,0)),"")</f>
        <v>0.83333333333333337</v>
      </c>
      <c r="G7">
        <f>IFERROR(INDEX(REPORT!$A$4:$BZ$100,MATCH($A7,REPORT!$A$4:$A$100,0),MATCH(G$1,REPORT!$A$4:$BZ$4,0)),"")</f>
        <v>0.66666666666666663</v>
      </c>
      <c r="H7">
        <f>IFERROR(INDEX(REPORT!$A$4:$BZ$100,MATCH($A7,REPORT!$A$4:$A$100,0),MATCH(H$1,REPORT!$A$4:$BZ$4,0)),"")</f>
        <v>0</v>
      </c>
      <c r="I7">
        <f>IFERROR(INDEX(REPORT!$A$4:$BZ$100,MATCH($A7,REPORT!$A$4:$A$100,0),MATCH(I$1,REPORT!$A$4:$BZ$4,0)),"")</f>
        <v>0.55555555555555558</v>
      </c>
      <c r="J7">
        <f>IFERROR(INDEX(REPORT!$A$4:$BZ$100,MATCH($A7,REPORT!$A$4:$A$100,0),MATCH(J$1,REPORT!$A$4:$BZ$4,0)),"")</f>
        <v>0</v>
      </c>
      <c r="K7">
        <f>IFERROR(INDEX(REPORT!$A$4:$BZ$100,MATCH($A7,REPORT!$A$4:$A$100,0),MATCH(K$1,REPORT!$A$4:$BZ$4,0)),"")</f>
        <v>0.83333333333333337</v>
      </c>
      <c r="L7">
        <f>IFERROR(INDEX(REPORT!$A$4:$BZ$100,MATCH($A7,REPORT!$A$4:$A$100,0),MATCH(L$1,REPORT!$A$4:$BZ$4,0)),"")</f>
        <v>0.83333333333333337</v>
      </c>
      <c r="M7">
        <f>IFERROR(INDEX(REPORT!$A$4:$BZ$100,MATCH($A7,REPORT!$A$4:$A$100,0),MATCH(M$1,REPORT!$A$4:$BZ$4,0)),"")</f>
        <v>0.66666666666666663</v>
      </c>
      <c r="N7">
        <f>IFERROR(INDEX(REPORT!$A$4:$BZ$100,MATCH($A7,REPORT!$A$4:$A$100,0),MATCH(N$1,REPORT!$A$4:$BZ$4,0)),"")</f>
        <v>0.5</v>
      </c>
      <c r="O7">
        <f>IFERROR(INDEX(REPORT!$A$4:$BZ$100,MATCH($A7,REPORT!$A$4:$A$100,0),MATCH(O$1,REPORT!$A$4:$BZ$4,0)),"")</f>
        <v>0.16666666666666666</v>
      </c>
      <c r="P7">
        <f>IFERROR(INDEX(REPORT!$A$4:$BZ$100,MATCH($A7,REPORT!$A$4:$A$100,0),MATCH(P$1,REPORT!$A$4:$BZ$4,0)),"")</f>
        <v>1</v>
      </c>
      <c r="Q7">
        <f>IFERROR(INDEX(REPORT!$A$4:$BZ$100,MATCH($A7,REPORT!$A$4:$A$100,0),MATCH(Q$1,REPORT!$A$4:$BZ$4,0)),"")</f>
        <v>1</v>
      </c>
      <c r="R7">
        <f>IFERROR(INDEX(REPORT!$A$4:$BZ$100,MATCH($A7,REPORT!$A$4:$A$100,0),MATCH(R$1,REPORT!$A$4:$BZ$4,0)),"")</f>
        <v>0.55555555555555547</v>
      </c>
      <c r="S7">
        <f>IFERROR(INDEX(REPORT!$A$4:$BZ$100,MATCH($A7,REPORT!$A$4:$A$100,0),MATCH(S$1,REPORT!$A$4:$BZ$4,0)),"")</f>
        <v>0.5</v>
      </c>
      <c r="T7">
        <f>IFERROR(INDEX(REPORT!$A$4:$BZ$100,MATCH($A7,REPORT!$A$4:$A$100,0),MATCH(T$1,REPORT!$A$4:$BZ$4,0)),"")</f>
        <v>0.16666666666666666</v>
      </c>
      <c r="U7">
        <f>IFERROR(INDEX(REPORT!$A$4:$BZ$100,MATCH($A7,REPORT!$A$4:$A$100,0),MATCH(U$1,REPORT!$A$4:$BZ$4,0)),"")</f>
        <v>1</v>
      </c>
      <c r="V7">
        <f>IFERROR(INDEX(REPORT!$A$4:$BZ$100,MATCH($A7,REPORT!$A$4:$A$100,0),MATCH(V$1,REPORT!$A$4:$BZ$4,0)),"")</f>
        <v>0.66666666666666663</v>
      </c>
      <c r="W7">
        <f>IFERROR(INDEX(REPORT!$A$4:$BZ$100,MATCH($A7,REPORT!$A$4:$A$100,0),MATCH(W$1,REPORT!$A$4:$BZ$4,0)),"")</f>
        <v>1</v>
      </c>
      <c r="X7">
        <f>IFERROR(INDEX(REPORT!$A$4:$BZ$100,MATCH($A7,REPORT!$A$4:$A$100,0),MATCH(X$1,REPORT!$A$4:$BZ$4,0)),"")</f>
        <v>0.66666666666666663</v>
      </c>
      <c r="Y7">
        <f>IFERROR(INDEX(REPORT!$A$4:$BZ$100,MATCH($A7,REPORT!$A$4:$A$100,0),MATCH(Y$1,REPORT!$A$4:$BZ$4,0)),"")</f>
        <v>0.5</v>
      </c>
      <c r="Z7">
        <f>IFERROR(INDEX(REPORT!$A$4:$BZ$100,MATCH($A7,REPORT!$A$4:$A$100,0),MATCH(Z$1,REPORT!$A$4:$BZ$4,0)),"")</f>
        <v>0.5</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8.6458333333333335E-3</v>
      </c>
      <c r="AF7">
        <f>IFERROR(INDEX(REPORT!$A$4:$BZ$100,MATCH($A7,REPORT!$A$4:$A$100,0),MATCH(AF$1,REPORT!$A$4:$BZ$4,0)),"")</f>
        <v>5.833333333333333</v>
      </c>
      <c r="AG7">
        <f>IFERROR(INDEX(REPORT!$A$4:$BZ$100,MATCH($A7,REPORT!$A$4:$A$100,0),MATCH(AG$1,REPORT!$A$4:$BZ$4,0)),"")</f>
        <v>1</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9.2727623456790118E-3</v>
      </c>
    </row>
    <row r="8" spans="1:37" x14ac:dyDescent="0.2">
      <c r="A8" t="str">
        <f>IF(LEN(REPORT!A11)&gt;2,REPORT!A11,"")</f>
        <v>MOMENTUM</v>
      </c>
      <c r="B8">
        <f>IFERROR(INDEX(REPORT!$A$2:$BZ$100,MATCH($A8,REPORT!$A$2:$A$100,0),MATCH(B$1,REPORT!$A$2:$BZ$2,0)),"")</f>
        <v>0.50733035714285712</v>
      </c>
      <c r="C8">
        <f>IFERROR(INDEX(REPORT!$A$2:$BZ$100,MATCH($A8,REPORT!$A$2:$A$100,0),MATCH(C$1,REPORT!$A$2:$BZ$2,0)),"")</f>
        <v>0.5</v>
      </c>
      <c r="D8">
        <f>IFERROR(INDEX(REPORT!$A$4:$BZ$100,MATCH($A8,REPORT!$A$4:$A$100,0),MATCH(D$1,REPORT!$A$4:$BZ$4,0)),"")</f>
        <v>0.35000000000000003</v>
      </c>
      <c r="E8">
        <f>IFERROR(INDEX(REPORT!$A$4:$BZ$100,MATCH($A8,REPORT!$A$4:$A$100,0),MATCH(E$1,REPORT!$A$4:$BZ$4,0)),"")</f>
        <v>0.6</v>
      </c>
      <c r="F8">
        <f>IFERROR(INDEX(REPORT!$A$4:$BZ$100,MATCH($A8,REPORT!$A$4:$A$100,0),MATCH(F$1,REPORT!$A$4:$BZ$4,0)),"")</f>
        <v>0.2</v>
      </c>
      <c r="G8">
        <f>IFERROR(INDEX(REPORT!$A$4:$BZ$100,MATCH($A8,REPORT!$A$4:$A$100,0),MATCH(G$1,REPORT!$A$4:$BZ$4,0)),"")</f>
        <v>0.4</v>
      </c>
      <c r="H8">
        <f>IFERROR(INDEX(REPORT!$A$4:$BZ$100,MATCH($A8,REPORT!$A$4:$A$100,0),MATCH(H$1,REPORT!$A$4:$BZ$4,0)),"")</f>
        <v>0.2</v>
      </c>
      <c r="I8">
        <f>IFERROR(INDEX(REPORT!$A$4:$BZ$100,MATCH($A8,REPORT!$A$4:$A$100,0),MATCH(I$1,REPORT!$A$4:$BZ$4,0)),"")</f>
        <v>0.33333333333333331</v>
      </c>
      <c r="J8">
        <f>IFERROR(INDEX(REPORT!$A$4:$BZ$100,MATCH($A8,REPORT!$A$4:$A$100,0),MATCH(J$1,REPORT!$A$4:$BZ$4,0)),"")</f>
        <v>0</v>
      </c>
      <c r="K8">
        <f>IFERROR(INDEX(REPORT!$A$4:$BZ$100,MATCH($A8,REPORT!$A$4:$A$100,0),MATCH(K$1,REPORT!$A$4:$BZ$4,0)),"")</f>
        <v>1</v>
      </c>
      <c r="L8">
        <f>IFERROR(INDEX(REPORT!$A$4:$BZ$100,MATCH($A8,REPORT!$A$4:$A$100,0),MATCH(L$1,REPORT!$A$4:$BZ$4,0)),"")</f>
        <v>0</v>
      </c>
      <c r="M8">
        <f>IFERROR(INDEX(REPORT!$A$4:$BZ$100,MATCH($A8,REPORT!$A$4:$A$100,0),MATCH(M$1,REPORT!$A$4:$BZ$4,0)),"")</f>
        <v>0.75</v>
      </c>
      <c r="N8">
        <f>IFERROR(INDEX(REPORT!$A$4:$BZ$100,MATCH($A8,REPORT!$A$4:$A$100,0),MATCH(N$1,REPORT!$A$4:$BZ$4,0)),"")</f>
        <v>1</v>
      </c>
      <c r="O8">
        <f>IFERROR(INDEX(REPORT!$A$4:$BZ$100,MATCH($A8,REPORT!$A$4:$A$100,0),MATCH(O$1,REPORT!$A$4:$BZ$4,0)),"")</f>
        <v>0</v>
      </c>
      <c r="P8">
        <f>IFERROR(INDEX(REPORT!$A$4:$BZ$100,MATCH($A8,REPORT!$A$4:$A$100,0),MATCH(P$1,REPORT!$A$4:$BZ$4,0)),"")</f>
        <v>1</v>
      </c>
      <c r="Q8">
        <f>IFERROR(INDEX(REPORT!$A$4:$BZ$100,MATCH($A8,REPORT!$A$4:$A$100,0),MATCH(Q$1,REPORT!$A$4:$BZ$4,0)),"")</f>
        <v>1</v>
      </c>
      <c r="R8">
        <f>IFERROR(INDEX(REPORT!$A$4:$BZ$100,MATCH($A8,REPORT!$A$4:$A$100,0),MATCH(R$1,REPORT!$A$4:$BZ$4,0)),"")</f>
        <v>0.5</v>
      </c>
      <c r="S8">
        <f>IFERROR(INDEX(REPORT!$A$4:$BZ$100,MATCH($A8,REPORT!$A$4:$A$100,0),MATCH(S$1,REPORT!$A$4:$BZ$4,0)),"")</f>
        <v>0.25</v>
      </c>
      <c r="T8">
        <f>IFERROR(INDEX(REPORT!$A$4:$BZ$100,MATCH($A8,REPORT!$A$4:$A$100,0),MATCH(T$1,REPORT!$A$4:$BZ$4,0)),"")</f>
        <v>0.25</v>
      </c>
      <c r="U8">
        <f>IFERROR(INDEX(REPORT!$A$4:$BZ$100,MATCH($A8,REPORT!$A$4:$A$100,0),MATCH(U$1,REPORT!$A$4:$BZ$4,0)),"")</f>
        <v>1</v>
      </c>
      <c r="V8">
        <f>IFERROR(INDEX(REPORT!$A$4:$BZ$100,MATCH($A8,REPORT!$A$4:$A$100,0),MATCH(V$1,REPORT!$A$4:$BZ$4,0)),"")</f>
        <v>0.6</v>
      </c>
      <c r="W8">
        <f>IFERROR(INDEX(REPORT!$A$4:$BZ$100,MATCH($A8,REPORT!$A$4:$A$100,0),MATCH(W$1,REPORT!$A$4:$BZ$4,0)),"")</f>
        <v>0.8</v>
      </c>
      <c r="X8">
        <f>IFERROR(INDEX(REPORT!$A$4:$BZ$100,MATCH($A8,REPORT!$A$4:$A$100,0),MATCH(X$1,REPORT!$A$4:$BZ$4,0)),"")</f>
        <v>0.6</v>
      </c>
      <c r="Y8">
        <f>IFERROR(INDEX(REPORT!$A$4:$BZ$100,MATCH($A8,REPORT!$A$4:$A$100,0),MATCH(Y$1,REPORT!$A$4:$BZ$4,0)),"")</f>
        <v>0.6</v>
      </c>
      <c r="Z8">
        <f>IFERROR(INDEX(REPORT!$A$4:$BZ$100,MATCH($A8,REPORT!$A$4:$A$100,0),MATCH(Z$1,REPORT!$A$4:$BZ$4,0)),"")</f>
        <v>0.4</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0.83333333333333337</v>
      </c>
      <c r="AE8">
        <f>IFERROR(INDEX(REPORT!$A$4:$BZ$100,MATCH($A8,REPORT!$A$4:$A$100,0),MATCH(AE$1,REPORT!$A$4:$BZ$4,0)),"")</f>
        <v>4.9652777777777777E-3</v>
      </c>
      <c r="AF8">
        <f>IFERROR(INDEX(REPORT!$A$4:$BZ$100,MATCH($A8,REPORT!$A$4:$A$100,0),MATCH(AF$1,REPORT!$A$4:$BZ$4,0)),"")</f>
        <v>4.8</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v>
      </c>
      <c r="AK8">
        <f>IFERROR(INDEX(REPORT!$A$4:$BZ$100,MATCH($A8,REPORT!$A$4:$A$100,0),MATCH(AK$1,REPORT!$A$4:$BZ$4,0)),"")</f>
        <v>7.5752314814814814E-3</v>
      </c>
    </row>
    <row r="9" spans="1:37" x14ac:dyDescent="0.2">
      <c r="A9" t="str">
        <f>IF(LEN(REPORT!A12)&gt;2,REPORT!A12,"")</f>
        <v>ENERGY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ENERGY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ENERGY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ENERGY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ENERGY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ENERGY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ENERGY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ENERGY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ENERGY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ENERGY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ENERGY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ENERGY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ENERGY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ENERGY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ENERGY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ENERGY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ENERGY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ENERGY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ENERGY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ENERGY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ENERGY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ENERGY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ENERGY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0.56573143424036276</v>
      </c>
      <c r="C32">
        <f>IFERROR(INDEX(REPORT!$A$2:$BZ$100,MATCH($A32,REPORT!$A$2:$A$100,0),MATCH(C$1,REPORT!$A$2:$BZ$2,0)),"")</f>
        <v>0.53628968253968257</v>
      </c>
      <c r="D32">
        <f>IFERROR(INDEX(REPORT!$A$4:$BZ$100,MATCH($A32,REPORT!$A$4:$A$100,0),MATCH(D$1,REPORT!$A$4:$BZ$4,0)),"")</f>
        <v>0.45476190476190481</v>
      </c>
      <c r="E32">
        <f>IFERROR(INDEX(REPORT!$A$4:$BZ$100,MATCH($A32,REPORT!$A$4:$A$100,0),MATCH(E$1,REPORT!$A$4:$BZ$4,0)),"")</f>
        <v>0.89523809523809528</v>
      </c>
      <c r="F32">
        <f>IFERROR(INDEX(REPORT!$A$4:$BZ$100,MATCH($A32,REPORT!$A$4:$A$100,0),MATCH(F$1,REPORT!$A$4:$BZ$4,0)),"")</f>
        <v>0.51904761904761909</v>
      </c>
      <c r="G32">
        <f>IFERROR(INDEX(REPORT!$A$4:$BZ$100,MATCH($A32,REPORT!$A$4:$A$100,0),MATCH(G$1,REPORT!$A$4:$BZ$4,0)),"")</f>
        <v>0.35238095238095235</v>
      </c>
      <c r="H32">
        <f>IFERROR(INDEX(REPORT!$A$4:$BZ$100,MATCH($A32,REPORT!$A$4:$A$100,0),MATCH(H$1,REPORT!$A$4:$BZ$4,0)),"")</f>
        <v>5.2380952380952382E-2</v>
      </c>
      <c r="I32">
        <f>IFERROR(INDEX(REPORT!$A$4:$BZ$100,MATCH($A32,REPORT!$A$4:$A$100,0),MATCH(I$1,REPORT!$A$4:$BZ$4,0)),"")</f>
        <v>0.41746031746031742</v>
      </c>
      <c r="J32">
        <f>IFERROR(INDEX(REPORT!$A$4:$BZ$100,MATCH($A32,REPORT!$A$4:$A$100,0),MATCH(J$1,REPORT!$A$4:$BZ$4,0)),"")</f>
        <v>2.8571428571428574E-2</v>
      </c>
      <c r="K32">
        <f>IFERROR(INDEX(REPORT!$A$4:$BZ$100,MATCH($A32,REPORT!$A$4:$A$100,0),MATCH(K$1,REPORT!$A$4:$BZ$4,0)),"")</f>
        <v>0.97619047619047616</v>
      </c>
      <c r="L32">
        <f>IFERROR(INDEX(REPORT!$A$4:$BZ$100,MATCH($A32,REPORT!$A$4:$A$100,0),MATCH(L$1,REPORT!$A$4:$BZ$4,0)),"")</f>
        <v>0.24761904761904763</v>
      </c>
      <c r="M32">
        <f>IFERROR(INDEX(REPORT!$A$4:$BZ$100,MATCH($A32,REPORT!$A$4:$A$100,0),MATCH(M$1,REPORT!$A$4:$BZ$4,0)),"")</f>
        <v>0.6886904761904763</v>
      </c>
      <c r="N32">
        <f>IFERROR(INDEX(REPORT!$A$4:$BZ$100,MATCH($A32,REPORT!$A$4:$A$100,0),MATCH(N$1,REPORT!$A$4:$BZ$4,0)),"")</f>
        <v>0.69047619047619047</v>
      </c>
      <c r="O32">
        <f>IFERROR(INDEX(REPORT!$A$4:$BZ$100,MATCH($A32,REPORT!$A$4:$A$100,0),MATCH(O$1,REPORT!$A$4:$BZ$4,0)),"")</f>
        <v>0.1238095238095238</v>
      </c>
      <c r="P32">
        <f>IFERROR(INDEX(REPORT!$A$4:$BZ$100,MATCH($A32,REPORT!$A$4:$A$100,0),MATCH(P$1,REPORT!$A$4:$BZ$4,0)),"")</f>
        <v>0.94047619047619058</v>
      </c>
      <c r="Q32">
        <f>IFERROR(INDEX(REPORT!$A$4:$BZ$100,MATCH($A32,REPORT!$A$4:$A$100,0),MATCH(Q$1,REPORT!$A$4:$BZ$4,0)),"")</f>
        <v>1</v>
      </c>
      <c r="R32">
        <f>IFERROR(INDEX(REPORT!$A$4:$BZ$100,MATCH($A32,REPORT!$A$4:$A$100,0),MATCH(R$1,REPORT!$A$4:$BZ$4,0)),"")</f>
        <v>0.50079365079365068</v>
      </c>
      <c r="S32">
        <f>IFERROR(INDEX(REPORT!$A$4:$BZ$100,MATCH($A32,REPORT!$A$4:$A$100,0),MATCH(S$1,REPORT!$A$4:$BZ$4,0)),"")</f>
        <v>0.3261904761904762</v>
      </c>
      <c r="T32">
        <f>IFERROR(INDEX(REPORT!$A$4:$BZ$100,MATCH($A32,REPORT!$A$4:$A$100,0),MATCH(T$1,REPORT!$A$4:$BZ$4,0)),"")</f>
        <v>0.31904761904761908</v>
      </c>
      <c r="U32">
        <f>IFERROR(INDEX(REPORT!$A$4:$BZ$100,MATCH($A32,REPORT!$A$4:$A$100,0),MATCH(U$1,REPORT!$A$4:$BZ$4,0)),"")</f>
        <v>0.8571428571428571</v>
      </c>
      <c r="V32">
        <f>IFERROR(INDEX(REPORT!$A$4:$BZ$100,MATCH($A32,REPORT!$A$4:$A$100,0),MATCH(V$1,REPORT!$A$4:$BZ$4,0)),"")</f>
        <v>0.66190476190476188</v>
      </c>
      <c r="W32">
        <f>IFERROR(INDEX(REPORT!$A$4:$BZ$100,MATCH($A32,REPORT!$A$4:$A$100,0),MATCH(W$1,REPORT!$A$4:$BZ$4,0)),"")</f>
        <v>0.9</v>
      </c>
      <c r="X32">
        <f>IFERROR(INDEX(REPORT!$A$4:$BZ$100,MATCH($A32,REPORT!$A$4:$A$100,0),MATCH(X$1,REPORT!$A$4:$BZ$4,0)),"")</f>
        <v>0.59999999999999987</v>
      </c>
      <c r="Y32">
        <f>IFERROR(INDEX(REPORT!$A$4:$BZ$100,MATCH($A32,REPORT!$A$4:$A$100,0),MATCH(Y$1,REPORT!$A$4:$BZ$4,0)),"")</f>
        <v>0.53809523809523818</v>
      </c>
      <c r="Z32">
        <f>IFERROR(INDEX(REPORT!$A$4:$BZ$100,MATCH($A32,REPORT!$A$4:$A$100,0),MATCH(Z$1,REPORT!$A$4:$BZ$4,0)),"")</f>
        <v>0.60952380952380969</v>
      </c>
      <c r="AA32">
        <f>IFERROR(INDEX(REPORT!$A$4:$BZ$100,MATCH($A32,REPORT!$A$4:$A$100,0),MATCH(AA$1,REPORT!$A$4:$BZ$4,0)),"")</f>
        <v>5.2380952380952382E-2</v>
      </c>
      <c r="AB32">
        <f>IFERROR(INDEX(REPORT!$A$4:$BZ$100,MATCH($A32,REPORT!$A$4:$A$100,0),MATCH(AB$1,REPORT!$A$4:$BZ$4,0)),"")</f>
        <v>2.8571428571428574E-2</v>
      </c>
      <c r="AC32">
        <f>IFERROR(INDEX(REPORT!$A$4:$BZ$100,MATCH($A32,REPORT!$A$4:$A$100,0),MATCH(AC$1,REPORT!$A$4:$BZ$4,0)),"")</f>
        <v>2.3809523809523808E-2</v>
      </c>
      <c r="AD32">
        <f>IFERROR(INDEX(REPORT!$A$4:$BZ$100,MATCH($A32,REPORT!$A$4:$A$100,0),MATCH(AD$1,REPORT!$A$4:$BZ$4,0)),"")</f>
        <v>0.9285714285714286</v>
      </c>
      <c r="AE32">
        <f>IFERROR(INDEX(REPORT!$A$4:$BZ$100,MATCH($A32,REPORT!$A$4:$A$100,0),MATCH(AE$1,REPORT!$A$4:$BZ$4,0)),"")</f>
        <v>4.9671516754850086E-3</v>
      </c>
      <c r="AF32">
        <f>IFERROR(INDEX(REPORT!$A$4:$BZ$100,MATCH($A32,REPORT!$A$4:$A$100,0),MATCH(AF$1,REPORT!$A$4:$BZ$4,0)),"")</f>
        <v>5.0761904761904759</v>
      </c>
      <c r="AG32">
        <f>IFERROR(INDEX(REPORT!$A$4:$BZ$100,MATCH($A32,REPORT!$A$4:$A$100,0),MATCH(AG$1,REPORT!$A$4:$BZ$4,0)),"")</f>
        <v>0.67380952380952386</v>
      </c>
      <c r="AH32">
        <f>IFERROR(INDEX(REPORT!$A$4:$BZ$100,MATCH($A32,REPORT!$A$4:$A$100,0),MATCH(AH$1,REPORT!$A$4:$BZ$4,0)),"")</f>
        <v>0.911904761904762</v>
      </c>
      <c r="AI32">
        <f>IFERROR(INDEX(REPORT!$A$4:$BZ$100,MATCH($A32,REPORT!$A$4:$A$100,0),MATCH(AI$1,REPORT!$A$4:$BZ$4,0)),"")</f>
        <v>0.70238095238095233</v>
      </c>
      <c r="AJ32">
        <f>IFERROR(INDEX(REPORT!$A$4:$BZ$100,MATCH($A32,REPORT!$A$4:$A$100,0),MATCH(AJ$1,REPORT!$A$4:$BZ$4,0)),"")</f>
        <v>4.7619047619047616E-2</v>
      </c>
      <c r="AK32">
        <f>IFERROR(INDEX(REPORT!$A$4:$BZ$100,MATCH($A32,REPORT!$A$4:$A$100,0),MATCH(AK$1,REPORT!$A$4:$BZ$4,0)),"")</f>
        <v>7.2827932098765424E-3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opLeftCell="A12" zoomScale="90" zoomScaleNormal="90" workbookViewId="0">
      <selection activeCell="D51" sqref="D51"/>
    </sheetView>
  </sheetViews>
  <sheetFormatPr baseColWidth="10" defaultColWidth="11.5" defaultRowHeight="16" x14ac:dyDescent="0.2"/>
  <cols>
    <col min="1" max="1" width="37.1640625" bestFit="1" customWidth="1"/>
    <col min="2" max="2" width="12" bestFit="1" customWidth="1"/>
    <col min="3" max="3" width="8.5" customWidth="1"/>
    <col min="4" max="33" width="18.83203125" customWidth="1"/>
    <col min="34" max="34" width="7.5" bestFit="1" customWidth="1"/>
    <col min="35" max="35" width="28" bestFit="1" customWidth="1"/>
  </cols>
  <sheetData>
    <row r="1" spans="1:37" ht="26" x14ac:dyDescent="0.2">
      <c r="A1" s="186" t="s">
        <v>43</v>
      </c>
      <c r="B1" s="187"/>
      <c r="C1" s="188" t="s">
        <v>0</v>
      </c>
      <c r="D1" s="189" t="s">
        <v>90</v>
      </c>
      <c r="E1" s="189" t="s">
        <v>91</v>
      </c>
      <c r="F1" s="189" t="s">
        <v>92</v>
      </c>
      <c r="G1" s="189" t="s">
        <v>93</v>
      </c>
      <c r="H1" s="189" t="s">
        <v>94</v>
      </c>
      <c r="I1" s="189" t="s">
        <v>95</v>
      </c>
      <c r="J1" s="189" t="s">
        <v>96</v>
      </c>
      <c r="K1" s="189" t="s">
        <v>97</v>
      </c>
      <c r="L1" s="189" t="s">
        <v>98</v>
      </c>
      <c r="M1" s="189" t="s">
        <v>99</v>
      </c>
      <c r="N1" s="189" t="s">
        <v>100</v>
      </c>
      <c r="O1" s="189" t="s">
        <v>101</v>
      </c>
      <c r="P1" s="189" t="s">
        <v>102</v>
      </c>
      <c r="Q1" s="189" t="s">
        <v>103</v>
      </c>
      <c r="R1" s="189" t="s">
        <v>104</v>
      </c>
      <c r="S1" s="189" t="s">
        <v>105</v>
      </c>
      <c r="T1" s="189" t="s">
        <v>106</v>
      </c>
      <c r="U1" s="189" t="s">
        <v>107</v>
      </c>
      <c r="V1" s="189" t="s">
        <v>108</v>
      </c>
      <c r="W1" s="189" t="s">
        <v>109</v>
      </c>
      <c r="X1" s="189" t="s">
        <v>110</v>
      </c>
      <c r="Y1" s="189" t="s">
        <v>111</v>
      </c>
      <c r="Z1" s="189" t="s">
        <v>112</v>
      </c>
      <c r="AA1" s="189" t="s">
        <v>113</v>
      </c>
      <c r="AB1" s="189" t="s">
        <v>114</v>
      </c>
      <c r="AC1" s="189" t="s">
        <v>115</v>
      </c>
      <c r="AD1" s="189" t="s">
        <v>116</v>
      </c>
      <c r="AE1" s="189" t="s">
        <v>117</v>
      </c>
      <c r="AF1" s="189" t="s">
        <v>118</v>
      </c>
      <c r="AG1" s="189" t="s">
        <v>119</v>
      </c>
    </row>
    <row r="2" spans="1:37" ht="27" thickBot="1" x14ac:dyDescent="0.25">
      <c r="A2" s="190" t="str">
        <f>REPORT!A2</f>
        <v>ENERGY</v>
      </c>
      <c r="B2" s="191" t="s">
        <v>60</v>
      </c>
      <c r="C2" s="35">
        <f>SUM(D2:L2)</f>
        <v>42</v>
      </c>
      <c r="D2" s="192">
        <f>COUNTA(AGL!$D2:$I2)</f>
        <v>6</v>
      </c>
      <c r="E2" s="192">
        <f>COUNTA(ALINTA!D2:I2)</f>
        <v>6</v>
      </c>
      <c r="F2" s="192">
        <f>COUNTA('ENERGY AUSTRALIA'!D2:I2)</f>
        <v>6</v>
      </c>
      <c r="G2" s="192">
        <f>COUNTA(ORIGIN!D2:I2)</f>
        <v>6</v>
      </c>
      <c r="H2" s="192">
        <f>COUNTA('RED ENERGY'!D2:I2)</f>
        <v>6</v>
      </c>
      <c r="I2" s="192">
        <f>COUNTA(ENGIE!D2:I2)</f>
        <v>6</v>
      </c>
      <c r="J2" s="192">
        <f>COUNTA(MOMENTUM!D2:I2)</f>
        <v>6</v>
      </c>
      <c r="K2" s="192"/>
      <c r="L2" s="192"/>
      <c r="M2" s="192"/>
      <c r="N2" s="192"/>
      <c r="O2" s="192"/>
      <c r="P2" s="192"/>
      <c r="Q2" s="192"/>
      <c r="R2" s="192"/>
      <c r="S2" s="192"/>
      <c r="T2" s="192"/>
      <c r="U2" s="192"/>
      <c r="V2" s="192"/>
      <c r="W2" s="192"/>
      <c r="X2" s="192"/>
      <c r="Y2" s="192"/>
      <c r="Z2" s="192"/>
      <c r="AA2" s="192"/>
      <c r="AB2" s="192"/>
      <c r="AC2" s="192"/>
      <c r="AD2" s="192"/>
      <c r="AE2" s="192"/>
      <c r="AF2" s="192"/>
      <c r="AG2" s="192"/>
    </row>
    <row r="3" spans="1:37" ht="27" thickBot="1" x14ac:dyDescent="0.35">
      <c r="A3" s="193" t="s">
        <v>1</v>
      </c>
      <c r="B3" s="194">
        <f>IF($C$2=0,"-",B48)</f>
        <v>0.56573143424036276</v>
      </c>
      <c r="C3" s="195"/>
      <c r="D3" s="196">
        <f t="shared" ref="D3:I3" si="0">IF(D51="-","-",D48)</f>
        <v>0.41904166666666665</v>
      </c>
      <c r="E3" s="196">
        <f t="shared" si="0"/>
        <v>0.57202083333333342</v>
      </c>
      <c r="F3" s="196">
        <f t="shared" si="0"/>
        <v>0.64276190476190465</v>
      </c>
      <c r="G3" s="196">
        <f t="shared" si="0"/>
        <v>0.42071428571428571</v>
      </c>
      <c r="H3" s="196">
        <f t="shared" si="0"/>
        <v>0.67870238095238089</v>
      </c>
      <c r="I3" s="196">
        <f t="shared" si="0"/>
        <v>0.71954861111111112</v>
      </c>
      <c r="J3" s="196">
        <f>IF(J51="-","-",J48)</f>
        <v>0.50733035714285712</v>
      </c>
      <c r="K3" s="197"/>
      <c r="L3" s="197"/>
      <c r="M3" s="197"/>
      <c r="N3" s="197"/>
      <c r="O3" s="197"/>
      <c r="P3" s="197"/>
      <c r="Q3" s="197"/>
      <c r="R3" s="197"/>
      <c r="S3" s="197"/>
      <c r="T3" s="197"/>
      <c r="U3" s="197"/>
      <c r="V3" s="197"/>
      <c r="W3" s="197"/>
      <c r="X3" s="197"/>
      <c r="Y3" s="197"/>
      <c r="Z3" s="197"/>
      <c r="AA3" s="197"/>
      <c r="AB3" s="197"/>
      <c r="AC3" s="197"/>
      <c r="AD3" s="197"/>
      <c r="AE3" s="197"/>
      <c r="AF3" s="197"/>
      <c r="AG3" s="198"/>
    </row>
    <row r="4" spans="1:37" ht="32" customHeight="1" x14ac:dyDescent="0.25">
      <c r="A4" s="199" t="s">
        <v>47</v>
      </c>
      <c r="B4" s="38">
        <f>IF(C2=0,"-",AVERAGE(D4:L4))</f>
        <v>0.53628968253968257</v>
      </c>
      <c r="C4" s="200" t="s">
        <v>1</v>
      </c>
      <c r="D4" s="201">
        <f>IF(D2=0, "-", IF(AGL!$B$4="-", "-", AGL!$B$4))</f>
        <v>0.40833333333333338</v>
      </c>
      <c r="E4" s="201">
        <f>IF(E2=0, "-", IF(ALINTA!$B$4="-", "-", ALINTA!$B$4))</f>
        <v>0.55833333333333346</v>
      </c>
      <c r="F4" s="201">
        <f>IF(F2=0, "-", IF('ENERGY AUSTRALIA'!$B$4="-", "-", 'ENERGY AUSTRALIA'!$B$4))</f>
        <v>0.68541666666666667</v>
      </c>
      <c r="G4" s="201">
        <f>IF(G2=0, "-", IF(ORIGIN!$B$4="-", "-", ORIGIN!$B$4))</f>
        <v>0.34583333333333333</v>
      </c>
      <c r="H4" s="201">
        <f>IF(H2=0, "-", IF('RED ENERGY'!$B$4="-", "-", 'RED ENERGY'!$B$4))</f>
        <v>0.63666666666666671</v>
      </c>
      <c r="I4" s="201">
        <f>IF(I2=0, "-", IF(ENGIE!$B$4="-", "-", ENGIE!$B$4))</f>
        <v>0.61944444444444446</v>
      </c>
      <c r="J4" s="201">
        <f>IF(J2=0, "-", IF(MOMENTUM!$B$4="-", "-", MOMENTUM!$B$4))</f>
        <v>0.5</v>
      </c>
      <c r="K4" s="201"/>
      <c r="L4" s="201"/>
      <c r="M4" s="201"/>
      <c r="N4" s="201"/>
      <c r="O4" s="201"/>
      <c r="P4" s="201"/>
      <c r="Q4" s="201"/>
      <c r="R4" s="201"/>
      <c r="S4" s="201"/>
      <c r="T4" s="201"/>
      <c r="U4" s="201"/>
      <c r="V4" s="201"/>
      <c r="W4" s="201"/>
      <c r="X4" s="201"/>
      <c r="Y4" s="201"/>
      <c r="Z4" s="201"/>
      <c r="AA4" s="201"/>
      <c r="AB4" s="201"/>
      <c r="AC4" s="201"/>
      <c r="AD4" s="201"/>
      <c r="AE4" s="201"/>
      <c r="AF4" s="201"/>
      <c r="AG4" s="201"/>
      <c r="AI4" s="12" t="s">
        <v>8</v>
      </c>
    </row>
    <row r="5" spans="1:37" ht="18" customHeight="1" x14ac:dyDescent="0.25">
      <c r="A5" s="202" t="s">
        <v>45</v>
      </c>
      <c r="B5" s="203">
        <f t="shared" ref="B5:B10" si="1">IF($C$2=0,"-",AVERAGE(D5:L5))</f>
        <v>0.5472420634920635</v>
      </c>
      <c r="C5" s="204" t="s">
        <v>46</v>
      </c>
      <c r="D5" s="205">
        <f>AGL!$B5</f>
        <v>0.40833333333333338</v>
      </c>
      <c r="E5" s="205">
        <f>ALINTA!$B5</f>
        <v>0.57500000000000007</v>
      </c>
      <c r="F5" s="205">
        <f>'ENERGY AUSTRALIA'!$B5</f>
        <v>0.68541666666666667</v>
      </c>
      <c r="G5" s="205">
        <f>ORIGIN!$B5</f>
        <v>0.40583333333333327</v>
      </c>
      <c r="H5" s="205">
        <f>'RED ENERGY'!$B5</f>
        <v>0.63666666666666671</v>
      </c>
      <c r="I5" s="205">
        <f>ENGIE!$B5</f>
        <v>0.61944444444444446</v>
      </c>
      <c r="J5" s="205">
        <f>MOMENTUM!$B5</f>
        <v>0.5</v>
      </c>
      <c r="K5" s="205"/>
      <c r="L5" s="205"/>
      <c r="M5" s="205"/>
      <c r="N5" s="205"/>
      <c r="O5" s="205"/>
      <c r="P5" s="205"/>
      <c r="Q5" s="205"/>
      <c r="R5" s="205"/>
      <c r="S5" s="205"/>
      <c r="T5" s="205"/>
      <c r="U5" s="205"/>
      <c r="V5" s="205"/>
      <c r="W5" s="205"/>
      <c r="X5" s="205"/>
      <c r="Y5" s="205"/>
      <c r="Z5" s="205"/>
      <c r="AA5" s="205"/>
      <c r="AB5" s="205"/>
      <c r="AC5" s="205"/>
      <c r="AD5" s="205"/>
      <c r="AE5" s="205"/>
      <c r="AF5" s="205"/>
      <c r="AG5" s="205"/>
      <c r="AI5" s="7" t="s">
        <v>17</v>
      </c>
    </row>
    <row r="6" spans="1:37" ht="18" customHeight="1" x14ac:dyDescent="0.2">
      <c r="A6" s="20" t="s">
        <v>9</v>
      </c>
      <c r="B6" s="37">
        <f t="shared" si="1"/>
        <v>0.45476190476190481</v>
      </c>
      <c r="C6" s="1">
        <f>AJ24</f>
        <v>0.2</v>
      </c>
      <c r="D6" s="206">
        <f>IF(D$39=0%,"-",IF(D$2=0,"-",AGL!$B6))</f>
        <v>0.33333333333333337</v>
      </c>
      <c r="E6" s="206">
        <f>IF(E$39=0%,"-",IF(E$2=0,"-",ALINTA!$B6))</f>
        <v>0.375</v>
      </c>
      <c r="F6" s="206">
        <f>IF(F$39=0%,"-",IF(F$2=0,"-",'ENERGY AUSTRALIA'!$B6))</f>
        <v>0.75</v>
      </c>
      <c r="G6" s="206">
        <f>IF(G$39=0%,"-",IF(G$2=0,"-",ORIGIN!$B6))</f>
        <v>0.35</v>
      </c>
      <c r="H6" s="206">
        <f>IF(H$39=0%,"-",IF(H$2=0,"-",'RED ENERGY'!$B6))</f>
        <v>0.39999999999999997</v>
      </c>
      <c r="I6" s="206">
        <f>IF(I$39=0%,"-",IF(I$2=0,"-",ENGIE!$B6))</f>
        <v>0.625</v>
      </c>
      <c r="J6" s="206">
        <f>IF(J$39=0%,"-",IF(J$2=0,"-",MOMENTUM!$B6))</f>
        <v>0.35000000000000003</v>
      </c>
      <c r="K6" s="206"/>
      <c r="L6" s="206"/>
      <c r="M6" s="206"/>
      <c r="N6" s="206"/>
      <c r="O6" s="206"/>
      <c r="P6" s="206"/>
      <c r="Q6" s="206"/>
      <c r="R6" s="206"/>
      <c r="S6" s="206"/>
      <c r="T6" s="206"/>
      <c r="U6" s="206"/>
      <c r="V6" s="206"/>
      <c r="W6" s="206"/>
      <c r="X6" s="206"/>
      <c r="Y6" s="206"/>
      <c r="Z6" s="206"/>
      <c r="AA6" s="206"/>
      <c r="AB6" s="206"/>
      <c r="AC6" s="206"/>
      <c r="AD6" s="206"/>
      <c r="AE6" s="206"/>
      <c r="AF6" s="206"/>
      <c r="AG6" s="206"/>
      <c r="AK6" t="s">
        <v>1</v>
      </c>
    </row>
    <row r="7" spans="1:37" ht="18" customHeight="1" x14ac:dyDescent="0.2">
      <c r="A7" s="87" t="str">
        <f>REPORT!E4</f>
        <v>WELCOME</v>
      </c>
      <c r="B7" s="3">
        <f t="shared" si="1"/>
        <v>0.89523809523809528</v>
      </c>
      <c r="C7" s="207" t="s">
        <v>1</v>
      </c>
      <c r="D7" s="208">
        <f>IF(D$39=0%,"-",IF(D$2=0,"-",AGL!$B7))</f>
        <v>0.83333333333333337</v>
      </c>
      <c r="E7" s="208">
        <f>IF(E$39=0%,"-",IF(E$2=0,"-",ALINTA!$B7))</f>
        <v>0.83333333333333337</v>
      </c>
      <c r="F7" s="208">
        <f>IF(F$39=0%,"-",IF(F$2=0,"-",'ENERGY AUSTRALIA'!$B7))</f>
        <v>1</v>
      </c>
      <c r="G7" s="208">
        <f>IF(G$39=0%,"-",IF(G$2=0,"-",ORIGIN!$B7))</f>
        <v>1</v>
      </c>
      <c r="H7" s="208">
        <f>IF(H$39=0%,"-",IF(H$2=0,"-",'RED ENERGY'!$B7))</f>
        <v>1</v>
      </c>
      <c r="I7" s="208">
        <f>IF(I$39=0%,"-",IF(I$2=0,"-",ENGIE!$B7))</f>
        <v>1</v>
      </c>
      <c r="J7" s="208">
        <f>IF(J$39=0%,"-",IF(J$2=0,"-",MOMENTUM!$B7))</f>
        <v>0.6</v>
      </c>
      <c r="K7" s="208"/>
      <c r="L7" s="208"/>
      <c r="M7" s="208"/>
      <c r="N7" s="208"/>
      <c r="O7" s="208"/>
      <c r="P7" s="208"/>
      <c r="Q7" s="208"/>
      <c r="R7" s="208"/>
      <c r="S7" s="208"/>
      <c r="T7" s="208"/>
      <c r="U7" s="208"/>
      <c r="V7" s="208"/>
      <c r="W7" s="208"/>
      <c r="X7" s="208"/>
      <c r="Y7" s="208"/>
      <c r="Z7" s="208"/>
      <c r="AA7" s="208"/>
      <c r="AB7" s="208"/>
      <c r="AC7" s="208"/>
      <c r="AD7" s="208"/>
      <c r="AE7" s="208"/>
      <c r="AF7" s="208"/>
      <c r="AG7" s="208"/>
      <c r="AI7" s="11" t="s">
        <v>2</v>
      </c>
    </row>
    <row r="8" spans="1:37" ht="18" customHeight="1" x14ac:dyDescent="0.25">
      <c r="A8" s="87" t="str">
        <f>REPORT!F4</f>
        <v>INTENT</v>
      </c>
      <c r="B8" s="3">
        <f t="shared" si="1"/>
        <v>0.51904761904761909</v>
      </c>
      <c r="C8" s="207" t="s">
        <v>1</v>
      </c>
      <c r="D8" s="209">
        <f>IF(D$39=0%,"-",IF(D$2=0,"-",AGL!$B8))</f>
        <v>0.33333333333333331</v>
      </c>
      <c r="E8" s="209">
        <f>IF(E$39=0%,"-",IF(E$2=0,"-",ALINTA!$B8))</f>
        <v>0.66666666666666663</v>
      </c>
      <c r="F8" s="209">
        <f>IF(F$39=0%,"-",IF(F$2=0,"-",'ENERGY AUSTRALIA'!$B8))</f>
        <v>1</v>
      </c>
      <c r="G8" s="209">
        <f>IF(G$39=0%,"-",IF(G$2=0,"-",ORIGIN!$B8))</f>
        <v>0.2</v>
      </c>
      <c r="H8" s="209">
        <f>IF(H$39=0%,"-",IF(H$2=0,"-",'RED ENERGY'!$B8))</f>
        <v>0.4</v>
      </c>
      <c r="I8" s="209">
        <f>IF(I$39=0%,"-",IF(I$2=0,"-",ENGIE!$B8))</f>
        <v>0.83333333333333337</v>
      </c>
      <c r="J8" s="209">
        <f>IF(J$39=0%,"-",IF(J$2=0,"-",MOMENTUM!$B8))</f>
        <v>0.2</v>
      </c>
      <c r="K8" s="209"/>
      <c r="L8" s="209"/>
      <c r="M8" s="209"/>
      <c r="N8" s="209"/>
      <c r="O8" s="209"/>
      <c r="P8" s="209"/>
      <c r="Q8" s="209"/>
      <c r="R8" s="209"/>
      <c r="S8" s="209"/>
      <c r="T8" s="209"/>
      <c r="U8" s="209"/>
      <c r="V8" s="209"/>
      <c r="W8" s="209"/>
      <c r="X8" s="209"/>
      <c r="Y8" s="209"/>
      <c r="Z8" s="209"/>
      <c r="AA8" s="209"/>
      <c r="AB8" s="209"/>
      <c r="AC8" s="209"/>
      <c r="AD8" s="209"/>
      <c r="AE8" s="209"/>
      <c r="AF8" s="209"/>
      <c r="AG8" s="209"/>
      <c r="AI8" s="7" t="s">
        <v>16</v>
      </c>
    </row>
    <row r="9" spans="1:37" ht="18" customHeight="1" x14ac:dyDescent="0.2">
      <c r="A9" s="87" t="str">
        <f>REPORT!G4</f>
        <v>NAME</v>
      </c>
      <c r="B9" s="3">
        <f t="shared" si="1"/>
        <v>0.35238095238095235</v>
      </c>
      <c r="C9" s="207" t="s">
        <v>1</v>
      </c>
      <c r="D9" s="208">
        <f>IF(D$39=0%,"-",IF(D$2=0,"-",AGL!$B9))</f>
        <v>0.16666666666666666</v>
      </c>
      <c r="E9" s="208">
        <f>IF(E$39=0%,"-",IF(E$2=0,"-",ALINTA!$B9))</f>
        <v>0</v>
      </c>
      <c r="F9" s="208">
        <f>IF(F$39=0%,"-",IF(F$2=0,"-",'ENERGY AUSTRALIA'!$B9))</f>
        <v>0.83333333333333337</v>
      </c>
      <c r="G9" s="208">
        <f>IF(G$39=0%,"-",IF(G$2=0,"-",ORIGIN!$B9))</f>
        <v>0.2</v>
      </c>
      <c r="H9" s="208">
        <f>IF(H$39=0%,"-",IF(H$2=0,"-",'RED ENERGY'!$B9))</f>
        <v>0.2</v>
      </c>
      <c r="I9" s="208">
        <f>IF(I$39=0%,"-",IF(I$2=0,"-",ENGIE!$B9))</f>
        <v>0.66666666666666663</v>
      </c>
      <c r="J9" s="208">
        <f>IF(J$39=0%,"-",IF(J$2=0,"-",MOMENTUM!$B9))</f>
        <v>0.4</v>
      </c>
      <c r="K9" s="208"/>
      <c r="L9" s="208"/>
      <c r="M9" s="208"/>
      <c r="N9" s="208"/>
      <c r="O9" s="208"/>
      <c r="P9" s="208"/>
      <c r="Q9" s="208"/>
      <c r="R9" s="208"/>
      <c r="S9" s="208"/>
      <c r="T9" s="208"/>
      <c r="U9" s="208"/>
      <c r="V9" s="208"/>
      <c r="W9" s="208"/>
      <c r="X9" s="208"/>
      <c r="Y9" s="208"/>
      <c r="Z9" s="208"/>
      <c r="AA9" s="208"/>
      <c r="AB9" s="208"/>
      <c r="AC9" s="208"/>
      <c r="AD9" s="208"/>
      <c r="AE9" s="208"/>
      <c r="AF9" s="208"/>
      <c r="AG9" s="208"/>
      <c r="AI9" t="s">
        <v>1</v>
      </c>
    </row>
    <row r="10" spans="1:37" ht="18" customHeight="1" x14ac:dyDescent="0.2">
      <c r="A10" s="87" t="str">
        <f>REPORT!H4</f>
        <v>BRIDGE</v>
      </c>
      <c r="B10" s="3">
        <f t="shared" si="1"/>
        <v>5.2380952380952382E-2</v>
      </c>
      <c r="C10" s="207" t="s">
        <v>1</v>
      </c>
      <c r="D10" s="209">
        <f>IF(D$39=0%,"-",IF(D$2=0,"-",AGL!$B10))</f>
        <v>0</v>
      </c>
      <c r="E10" s="209">
        <f>IF(E$39=0%,"-",IF(E$2=0,"-",ALINTA!$B10))</f>
        <v>0</v>
      </c>
      <c r="F10" s="209">
        <f>IF(F$39=0%,"-",IF(F$2=0,"-",'ENERGY AUSTRALIA'!$B10))</f>
        <v>0.16666666666666666</v>
      </c>
      <c r="G10" s="209">
        <f>IF(G$39=0%,"-",IF(G$2=0,"-",ORIGIN!$B10))</f>
        <v>0</v>
      </c>
      <c r="H10" s="209">
        <f>IF(H$39=0%,"-",IF(H$2=0,"-",'RED ENERGY'!$B10))</f>
        <v>0</v>
      </c>
      <c r="I10" s="209">
        <f>IF(I$39=0%,"-",IF(I$2=0,"-",ENGIE!$B10))</f>
        <v>0</v>
      </c>
      <c r="J10" s="209">
        <f>IF(J$39=0%,"-",IF(J$2=0,"-",MOMENTUM!$B10))</f>
        <v>0.2</v>
      </c>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I10" s="13" t="s">
        <v>3</v>
      </c>
    </row>
    <row r="11" spans="1:37" ht="18" customHeight="1" x14ac:dyDescent="0.25">
      <c r="A11" s="2"/>
      <c r="B11" s="39" t="s">
        <v>1</v>
      </c>
      <c r="C11" s="4"/>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I11" s="8" t="s">
        <v>15</v>
      </c>
    </row>
    <row r="12" spans="1:37" ht="18" customHeight="1" x14ac:dyDescent="0.2">
      <c r="A12" s="20" t="s">
        <v>10</v>
      </c>
      <c r="B12" s="37">
        <f>IF($C$2=0,"-",AVERAGE(D12:L12))</f>
        <v>0.41746031746031742</v>
      </c>
      <c r="C12" s="1">
        <f>AJ25</f>
        <v>0.2</v>
      </c>
      <c r="D12" s="211">
        <f>IF(D$39=0%,"-",IF(D$2=0,"-",AGL!$B12))</f>
        <v>0.33333333333333331</v>
      </c>
      <c r="E12" s="211">
        <f>IF(E$39=0%,"-",IF(E$2=0,"-",ALINTA!$B12))</f>
        <v>0.33333333333333331</v>
      </c>
      <c r="F12" s="211">
        <f>IF(F$39=0%,"-",IF(F$2=0,"-",'ENERGY AUSTRALIA'!$B12))</f>
        <v>0.5</v>
      </c>
      <c r="G12" s="211">
        <f>IF(G$39=0%,"-",IF(G$2=0,"-",ORIGIN!$B12))</f>
        <v>0.33333333333333331</v>
      </c>
      <c r="H12" s="211">
        <f>IF(H$39=0%,"-",IF(H$2=0,"-",'RED ENERGY'!$B12))</f>
        <v>0.53333333333333333</v>
      </c>
      <c r="I12" s="211">
        <f>IF(I$39=0%,"-",IF(I$2=0,"-",ENGIE!$B12))</f>
        <v>0.55555555555555558</v>
      </c>
      <c r="J12" s="211">
        <f>IF(J$39=0%,"-",IF(J$2=0,"-",MOMENTUM!$B12))</f>
        <v>0.33333333333333331</v>
      </c>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I12" t="s">
        <v>1</v>
      </c>
    </row>
    <row r="13" spans="1:37" ht="18" customHeight="1" x14ac:dyDescent="0.2">
      <c r="A13" s="87" t="str">
        <f>REPORT!J4</f>
        <v>CONVERSE</v>
      </c>
      <c r="B13" s="3">
        <f>IF($C$2=0,"-",AVERAGE(D13:L13))</f>
        <v>2.8571428571428574E-2</v>
      </c>
      <c r="C13" s="207" t="s">
        <v>1</v>
      </c>
      <c r="D13" s="208">
        <f>IF(D$39=0%,"-",IF(D$2=0,"-",AGL!$B13))</f>
        <v>0</v>
      </c>
      <c r="E13" s="208">
        <f>IF(E$39=0%,"-",IF(E$2=0,"-",ALINTA!$B13))</f>
        <v>0</v>
      </c>
      <c r="F13" s="208">
        <f>IF(F$39=0%,"-",IF(F$2=0,"-",'ENERGY AUSTRALIA'!$B13))</f>
        <v>0</v>
      </c>
      <c r="G13" s="208">
        <f>IF(G$39=0%,"-",IF(G$2=0,"-",ORIGIN!$B13))</f>
        <v>0</v>
      </c>
      <c r="H13" s="208">
        <f>IF(H$39=0%,"-",IF(H$2=0,"-",'RED ENERGY'!$B13))</f>
        <v>0.2</v>
      </c>
      <c r="I13" s="208">
        <f>IF(I$39=0%,"-",IF(I$2=0,"-",ENGIE!$B13))</f>
        <v>0</v>
      </c>
      <c r="J13" s="208">
        <f>IF(J$39=0%,"-",IF(J$2=0,"-",MOMENTUM!$B13))</f>
        <v>0</v>
      </c>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I13" s="14" t="s">
        <v>4</v>
      </c>
    </row>
    <row r="14" spans="1:37" ht="18" customHeight="1" x14ac:dyDescent="0.25">
      <c r="A14" s="87" t="str">
        <f>REPORT!K4</f>
        <v>LISTEN</v>
      </c>
      <c r="B14" s="3">
        <f>IF($C$2=0,"-",AVERAGE(D14:L14))</f>
        <v>0.97619047619047616</v>
      </c>
      <c r="C14" s="207" t="s">
        <v>1</v>
      </c>
      <c r="D14" s="209">
        <f>IF(D$39=0%,"-",IF(D$2=0,"-",AGL!$B14))</f>
        <v>1</v>
      </c>
      <c r="E14" s="209">
        <f>IF(E$39=0%,"-",IF(E$2=0,"-",ALINTA!$B14))</f>
        <v>1</v>
      </c>
      <c r="F14" s="209">
        <f>IF(F$39=0%,"-",IF(F$2=0,"-",'ENERGY AUSTRALIA'!$B14))</f>
        <v>1</v>
      </c>
      <c r="G14" s="209">
        <f>IF(G$39=0%,"-",IF(G$2=0,"-",ORIGIN!$B14))</f>
        <v>1</v>
      </c>
      <c r="H14" s="209">
        <f>IF(H$39=0%,"-",IF(H$2=0,"-",'RED ENERGY'!$B14))</f>
        <v>1</v>
      </c>
      <c r="I14" s="209">
        <f>IF(I$39=0%,"-",IF(I$2=0,"-",ENGIE!$B14))</f>
        <v>0.83333333333333337</v>
      </c>
      <c r="J14" s="209">
        <f>IF(J$39=0%,"-",IF(J$2=0,"-",MOMENTUM!$B14))</f>
        <v>1</v>
      </c>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I14" s="9" t="s">
        <v>14</v>
      </c>
    </row>
    <row r="15" spans="1:37" ht="18" customHeight="1" x14ac:dyDescent="0.2">
      <c r="A15" s="87" t="str">
        <f>REPORT!L4</f>
        <v>CONFIRM</v>
      </c>
      <c r="B15" s="3">
        <f>IF($C$2=0,"-",AVERAGE(D15:L15))</f>
        <v>0.24761904761904763</v>
      </c>
      <c r="C15" s="207" t="s">
        <v>1</v>
      </c>
      <c r="D15" s="208">
        <f>IF(D$39=0%,"-",IF(D$2=0,"-",AGL!$B15))</f>
        <v>0</v>
      </c>
      <c r="E15" s="208">
        <f>IF(E$39=0%,"-",IF(E$2=0,"-",ALINTA!$B15))</f>
        <v>0</v>
      </c>
      <c r="F15" s="208">
        <f>IF(F$39=0%,"-",IF(F$2=0,"-",'ENERGY AUSTRALIA'!$B15))</f>
        <v>0.5</v>
      </c>
      <c r="G15" s="208">
        <f>IF(G$39=0%,"-",IF(G$2=0,"-",ORIGIN!$B15))</f>
        <v>0</v>
      </c>
      <c r="H15" s="208">
        <f>IF(H$39=0%,"-",IF(H$2=0,"-",'RED ENERGY'!$B15))</f>
        <v>0.4</v>
      </c>
      <c r="I15" s="208">
        <f>IF(I$39=0%,"-",IF(I$2=0,"-",ENGIE!$B15))</f>
        <v>0.83333333333333337</v>
      </c>
      <c r="J15" s="208">
        <f>IF(J$39=0%,"-",IF(J$2=0,"-",MOMENTUM!$B15))</f>
        <v>0</v>
      </c>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t="s">
        <v>1</v>
      </c>
    </row>
    <row r="16" spans="1:37" ht="18" customHeight="1" x14ac:dyDescent="0.2">
      <c r="A16" s="2"/>
      <c r="C16" s="4"/>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I16" s="15" t="s">
        <v>7</v>
      </c>
    </row>
    <row r="17" spans="1:36" ht="18" customHeight="1" x14ac:dyDescent="0.25">
      <c r="A17" s="20" t="s">
        <v>11</v>
      </c>
      <c r="B17" s="37">
        <f>IF($C$2=0,"-",AVERAGE(D17:L17))</f>
        <v>0.6886904761904763</v>
      </c>
      <c r="C17" s="1">
        <f>AJ26</f>
        <v>0.25</v>
      </c>
      <c r="D17" s="211">
        <f>IF(D$39=0%,"-",IF(D$2=0,"-",AGL!$B17))</f>
        <v>0.66666666666666663</v>
      </c>
      <c r="E17" s="211">
        <f>IF(E$39=0%,"-",IF(E$2=0,"-",ALINTA!$B17))</f>
        <v>0.66666666666666663</v>
      </c>
      <c r="F17" s="211">
        <f>IF(F$39=0%,"-",IF(F$2=0,"-",'ENERGY AUSTRALIA'!$B17))</f>
        <v>0.70833333333333326</v>
      </c>
      <c r="G17" s="211">
        <f>IF(G$39=0%,"-",IF(G$2=0,"-",ORIGIN!$B17))</f>
        <v>0.5625</v>
      </c>
      <c r="H17" s="211">
        <f>IF(H$39=0%,"-",IF(H$2=0,"-",'RED ENERGY'!$B17))</f>
        <v>0.8</v>
      </c>
      <c r="I17" s="211">
        <f>IF(I$39=0%,"-",IF(I$2=0,"-",ENGIE!$B17))</f>
        <v>0.66666666666666663</v>
      </c>
      <c r="J17" s="211">
        <f>IF(J$39=0%,"-",IF(J$2=0,"-",MOMENTUM!$B17))</f>
        <v>0.75</v>
      </c>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I17" s="9" t="s">
        <v>6</v>
      </c>
    </row>
    <row r="18" spans="1:36" ht="18" customHeight="1" x14ac:dyDescent="0.2">
      <c r="A18" s="87" t="str">
        <f>REPORT!N4</f>
        <v>INFORM</v>
      </c>
      <c r="B18" s="3">
        <f>IF($C$2=0,"-",AVERAGE(D18:L18))</f>
        <v>0.69047619047619047</v>
      </c>
      <c r="C18" s="207" t="s">
        <v>1</v>
      </c>
      <c r="D18" s="208">
        <f>IF(D$39=0%,"-",IF(D$2=0,"-",AGL!$B18))</f>
        <v>0.5</v>
      </c>
      <c r="E18" s="208">
        <f>IF(E$39=0%,"-",IF(E$2=0,"-",ALINTA!$B18))</f>
        <v>0.66666666666666663</v>
      </c>
      <c r="F18" s="208">
        <f>IF(F$39=0%,"-",IF(F$2=0,"-",'ENERGY AUSTRALIA'!$B18))</f>
        <v>0.66666666666666663</v>
      </c>
      <c r="G18" s="208">
        <f>IF(G$39=0%,"-",IF(G$2=0,"-",ORIGIN!$B18))</f>
        <v>0.5</v>
      </c>
      <c r="H18" s="208">
        <f>IF(H$39=0%,"-",IF(H$2=0,"-",'RED ENERGY'!$B18))</f>
        <v>1</v>
      </c>
      <c r="I18" s="208">
        <f>IF(I$39=0%,"-",IF(I$2=0,"-",ENGIE!$B18))</f>
        <v>0.5</v>
      </c>
      <c r="J18" s="208">
        <f>IF(J$39=0%,"-",IF(J$2=0,"-",MOMENTUM!$B18))</f>
        <v>1</v>
      </c>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row>
    <row r="19" spans="1:36" ht="18" customHeight="1" x14ac:dyDescent="0.2">
      <c r="A19" s="87" t="str">
        <f>REPORT!O4</f>
        <v>CHECK</v>
      </c>
      <c r="B19" s="3">
        <f>IF($C$2=0,"-",AVERAGE(D19:L19))</f>
        <v>0.1238095238095238</v>
      </c>
      <c r="C19" s="207" t="s">
        <v>1</v>
      </c>
      <c r="D19" s="209">
        <f>IF(D$39=0%,"-",IF(D$2=0,"-",AGL!$B19))</f>
        <v>0.16666666666666666</v>
      </c>
      <c r="E19" s="209">
        <f>IF(E$39=0%,"-",IF(E$2=0,"-",ALINTA!$B19))</f>
        <v>0.16666666666666666</v>
      </c>
      <c r="F19" s="209">
        <f>IF(F$39=0%,"-",IF(F$2=0,"-",'ENERGY AUSTRALIA'!$B19))</f>
        <v>0.16666666666666666</v>
      </c>
      <c r="G19" s="209">
        <f>IF(G$39=0%,"-",IF(G$2=0,"-",ORIGIN!$B19))</f>
        <v>0</v>
      </c>
      <c r="H19" s="209">
        <f>IF(H$39=0%,"-",IF(H$2=0,"-",'RED ENERGY'!$B19))</f>
        <v>0.2</v>
      </c>
      <c r="I19" s="209">
        <f>IF(I$39=0%,"-",IF(I$2=0,"-",ENGIE!$B19))</f>
        <v>0.16666666666666666</v>
      </c>
      <c r="J19" s="209">
        <f>IF(J$39=0%,"-",IF(J$2=0,"-",MOMENTUM!$B19))</f>
        <v>0</v>
      </c>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J19" t="s">
        <v>1</v>
      </c>
    </row>
    <row r="20" spans="1:36" ht="18" customHeight="1" x14ac:dyDescent="0.2">
      <c r="A20" s="87" t="str">
        <f>REPORT!P4</f>
        <v>SEEK</v>
      </c>
      <c r="B20" s="3">
        <f>IF($C$2=0,"-",AVERAGE(D20:L20))</f>
        <v>0.94047619047619058</v>
      </c>
      <c r="C20" s="207" t="s">
        <v>1</v>
      </c>
      <c r="D20" s="208">
        <f>IF(D$39=0%,"-",IF(D$2=0,"-",AGL!$B20))</f>
        <v>1</v>
      </c>
      <c r="E20" s="208">
        <f>IF(E$39=0%,"-",IF(E$2=0,"-",ALINTA!$B20))</f>
        <v>0.83333333333333337</v>
      </c>
      <c r="F20" s="208">
        <f>IF(F$39=0%,"-",IF(F$2=0,"-",'ENERGY AUSTRALIA'!$B20))</f>
        <v>1</v>
      </c>
      <c r="G20" s="208">
        <f>IF(G$39=0%,"-",IF(G$2=0,"-",ORIGIN!$B20))</f>
        <v>0.75</v>
      </c>
      <c r="H20" s="208">
        <f>IF(H$39=0%,"-",IF(H$2=0,"-",'RED ENERGY'!$B20))</f>
        <v>1</v>
      </c>
      <c r="I20" s="208">
        <f>IF(I$39=0%,"-",IF(I$2=0,"-",ENGIE!$B20))</f>
        <v>1</v>
      </c>
      <c r="J20" s="208">
        <f>IF(J$39=0%,"-",IF(J$2=0,"-",MOMENTUM!$B20))</f>
        <v>1</v>
      </c>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I20" t="s">
        <v>1</v>
      </c>
    </row>
    <row r="21" spans="1:36" ht="18" customHeight="1" x14ac:dyDescent="0.2">
      <c r="A21" s="87" t="str">
        <f>REPORT!Q4</f>
        <v>CONFIDENCE</v>
      </c>
      <c r="B21" s="3">
        <f>IF($C$2=0,"-",AVERAGE(D21:L21))</f>
        <v>1</v>
      </c>
      <c r="C21" s="207" t="s">
        <v>1</v>
      </c>
      <c r="D21" s="209">
        <f>IF(D$39=0%,"-",IF(D$2=0,"-",AGL!$B21))</f>
        <v>1</v>
      </c>
      <c r="E21" s="209">
        <f>IF(E$39=0%,"-",IF(E$2=0,"-",ALINTA!$B21))</f>
        <v>1</v>
      </c>
      <c r="F21" s="209">
        <f>IF(F$39=0%,"-",IF(F$2=0,"-",'ENERGY AUSTRALIA'!$B21))</f>
        <v>1</v>
      </c>
      <c r="G21" s="209">
        <f>IF(G$39=0%,"-",IF(G$2=0,"-",ORIGIN!$B21))</f>
        <v>1</v>
      </c>
      <c r="H21" s="209">
        <f>IF(H$39=0%,"-",IF(H$2=0,"-",'RED ENERGY'!$B21))</f>
        <v>1</v>
      </c>
      <c r="I21" s="209">
        <f>IF(I$39=0%,"-",IF(I$2=0,"-",ENGIE!$B21))</f>
        <v>1</v>
      </c>
      <c r="J21" s="209">
        <f>IF(J$39=0%,"-",IF(J$2=0,"-",MOMENTUM!$B21))</f>
        <v>1</v>
      </c>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t="s">
        <v>1</v>
      </c>
    </row>
    <row r="22" spans="1:36" ht="18" customHeight="1" x14ac:dyDescent="0.2">
      <c r="A22" s="2"/>
      <c r="C22" s="4"/>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I22" t="s">
        <v>1</v>
      </c>
    </row>
    <row r="23" spans="1:36" ht="18" customHeight="1" x14ac:dyDescent="0.2">
      <c r="A23" s="20" t="s">
        <v>12</v>
      </c>
      <c r="B23" s="37">
        <f>IF($C$2=0,"-",AVERAGE(D23:L23))</f>
        <v>0.50079365079365068</v>
      </c>
      <c r="C23" s="1">
        <f>AJ27</f>
        <v>0.15</v>
      </c>
      <c r="D23" s="211">
        <f>IF(D$39=0%,"-",IF(D$2=0,"-",AGL!$B23))</f>
        <v>0.33333333333333331</v>
      </c>
      <c r="E23" s="211">
        <f>IF(E$39=0%,"-",IF(E$2=0,"-",ALINTA!$B23))</f>
        <v>0.66666666666666663</v>
      </c>
      <c r="F23" s="211">
        <f>IF(F$39=0%,"-",IF(F$2=0,"-",'ENERGY AUSTRALIA'!$B23))</f>
        <v>0.66666666666666663</v>
      </c>
      <c r="G23" s="211">
        <f>IF(G$39=0%,"-",IF(G$2=0,"-",ORIGIN!$B23))</f>
        <v>0.25</v>
      </c>
      <c r="H23" s="211">
        <f>IF(H$39=0%,"-",IF(H$2=0,"-",'RED ENERGY'!$B23))</f>
        <v>0.53333333333333333</v>
      </c>
      <c r="I23" s="211">
        <f>IF(I$39=0%,"-",IF(I$2=0,"-",ENGIE!$B23))</f>
        <v>0.55555555555555547</v>
      </c>
      <c r="J23" s="211">
        <f>IF(J$39=0%,"-",IF(J$2=0,"-",MOMENTUM!$B23))</f>
        <v>0.5</v>
      </c>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I23" s="52" t="s">
        <v>44</v>
      </c>
      <c r="AJ23" s="53">
        <f>SUM(AJ24:AJ28)</f>
        <v>1</v>
      </c>
    </row>
    <row r="24" spans="1:36" ht="18" customHeight="1" x14ac:dyDescent="0.2">
      <c r="A24" s="87" t="str">
        <f>REPORT!S4</f>
        <v>QUESTIONS</v>
      </c>
      <c r="B24" s="3">
        <f>IF($C$2=0,"-",AVERAGE(D24:L24))</f>
        <v>0.3261904761904762</v>
      </c>
      <c r="C24" s="207" t="s">
        <v>1</v>
      </c>
      <c r="D24" s="208">
        <f>IF(D$39=0%,"-",IF(D$2=0,"-",AGL!$B24))</f>
        <v>0.33333333333333331</v>
      </c>
      <c r="E24" s="208">
        <f>IF(E$39=0%,"-",IF(E$2=0,"-",ALINTA!$B24))</f>
        <v>0.5</v>
      </c>
      <c r="F24" s="208">
        <f>IF(F$39=0%,"-",IF(F$2=0,"-",'ENERGY AUSTRALIA'!$B24))</f>
        <v>0.5</v>
      </c>
      <c r="G24" s="208">
        <f>IF(G$39=0%,"-",IF(G$2=0,"-",ORIGIN!$B24))</f>
        <v>0</v>
      </c>
      <c r="H24" s="208">
        <f>IF(H$39=0%,"-",IF(H$2=0,"-",'RED ENERGY'!$B24))</f>
        <v>0.2</v>
      </c>
      <c r="I24" s="208">
        <f>IF(I$39=0%,"-",IF(I$2=0,"-",ENGIE!$B24))</f>
        <v>0.5</v>
      </c>
      <c r="J24" s="208">
        <f>IF(J$39=0%,"-",IF(J$2=0,"-",MOMENTUM!$B24))</f>
        <v>0.25</v>
      </c>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I24" s="54" t="s">
        <v>9</v>
      </c>
      <c r="AJ24" s="55">
        <v>0.2</v>
      </c>
    </row>
    <row r="25" spans="1:36" ht="18" customHeight="1" x14ac:dyDescent="0.2">
      <c r="A25" s="87" t="str">
        <f>REPORT!T4</f>
        <v>GRATITUDE</v>
      </c>
      <c r="B25" s="3">
        <f>IF($C$2=0,"-",AVERAGE(D25:L25))</f>
        <v>0.31904761904761908</v>
      </c>
      <c r="C25" s="207" t="s">
        <v>1</v>
      </c>
      <c r="D25" s="209">
        <f>IF(D$39=0%,"-",IF(D$2=0,"-",AGL!$B25))</f>
        <v>0.16666666666666666</v>
      </c>
      <c r="E25" s="209">
        <f>IF(E$39=0%,"-",IF(E$2=0,"-",ALINTA!$B25))</f>
        <v>0.5</v>
      </c>
      <c r="F25" s="209">
        <f>IF(F$39=0%,"-",IF(F$2=0,"-",'ENERGY AUSTRALIA'!$B25))</f>
        <v>0.5</v>
      </c>
      <c r="G25" s="209">
        <f>IF(G$39=0%,"-",IF(G$2=0,"-",ORIGIN!$B25))</f>
        <v>0.25</v>
      </c>
      <c r="H25" s="209">
        <f>IF(H$39=0%,"-",IF(H$2=0,"-",'RED ENERGY'!$B25))</f>
        <v>0.4</v>
      </c>
      <c r="I25" s="209">
        <f>IF(I$39=0%,"-",IF(I$2=0,"-",ENGIE!$B25))</f>
        <v>0.16666666666666666</v>
      </c>
      <c r="J25" s="209">
        <f>IF(J$39=0%,"-",IF(J$2=0,"-",MOMENTUM!$B25))</f>
        <v>0.25</v>
      </c>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I25" s="54" t="s">
        <v>10</v>
      </c>
      <c r="AJ25" s="55">
        <v>0.2</v>
      </c>
    </row>
    <row r="26" spans="1:36" ht="18" customHeight="1" x14ac:dyDescent="0.2">
      <c r="A26" s="87" t="str">
        <f>REPORT!U4</f>
        <v>THANKS</v>
      </c>
      <c r="B26" s="3">
        <f>IF($C$2=0,"-",AVERAGE(D26:L26))</f>
        <v>0.8571428571428571</v>
      </c>
      <c r="C26" s="207" t="s">
        <v>1</v>
      </c>
      <c r="D26" s="208">
        <f>IF(D$39=0%,"-",IF(D$2=0,"-",AGL!$B26))</f>
        <v>0.5</v>
      </c>
      <c r="E26" s="208">
        <f>IF(E$39=0%,"-",IF(E$2=0,"-",ALINTA!$B26))</f>
        <v>1</v>
      </c>
      <c r="F26" s="208">
        <f>IF(F$39=0%,"-",IF(F$2=0,"-",'ENERGY AUSTRALIA'!$B26))</f>
        <v>1</v>
      </c>
      <c r="G26" s="208">
        <f>IF(G$39=0%,"-",IF(G$2=0,"-",ORIGIN!$B26))</f>
        <v>0.5</v>
      </c>
      <c r="H26" s="208">
        <f>IF(H$39=0%,"-",IF(H$2=0,"-",'RED ENERGY'!$B26))</f>
        <v>1</v>
      </c>
      <c r="I26" s="208">
        <f>IF(I$39=0%,"-",IF(I$2=0,"-",ENGIE!$B26))</f>
        <v>1</v>
      </c>
      <c r="J26" s="208">
        <f>IF(J$39=0%,"-",IF(J$2=0,"-",MOMENTUM!$B26))</f>
        <v>1</v>
      </c>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I26" s="54" t="s">
        <v>11</v>
      </c>
      <c r="AJ26" s="55">
        <v>0.25</v>
      </c>
    </row>
    <row r="27" spans="1:36" ht="18" customHeight="1" x14ac:dyDescent="0.2">
      <c r="A27" s="2"/>
      <c r="C27" s="4"/>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I27" s="54" t="s">
        <v>12</v>
      </c>
      <c r="AJ27" s="55">
        <v>0.15</v>
      </c>
    </row>
    <row r="28" spans="1:36" ht="18" customHeight="1" x14ac:dyDescent="0.2">
      <c r="A28" s="20" t="s">
        <v>13</v>
      </c>
      <c r="B28" s="37">
        <f>IF($C$2=0,"-",AVERAGE(D28:L28))</f>
        <v>0.66190476190476188</v>
      </c>
      <c r="C28" s="1">
        <f>AJ28</f>
        <v>0.2</v>
      </c>
      <c r="D28" s="211">
        <f>IF(D$39=0%,"-",IF(D$2=0,"-",AGL!$B28))</f>
        <v>0.29166666666666663</v>
      </c>
      <c r="E28" s="211">
        <f>IF(E$39=0%,"-",IF(E$2=0,"-",ALINTA!$B28))</f>
        <v>0.83333333333333337</v>
      </c>
      <c r="F28" s="211">
        <f>IF(F$39=0%,"-",IF(F$2=0,"-",'ENERGY AUSTRALIA'!$B28))</f>
        <v>0.79166666666666674</v>
      </c>
      <c r="G28" s="211">
        <f>IF(G$39=0%,"-",IF(G$2=0,"-",ORIGIN!$B28))</f>
        <v>0.6</v>
      </c>
      <c r="H28" s="211">
        <f>IF(H$39=0%,"-",IF(H$2=0,"-",'RED ENERGY'!$B28))</f>
        <v>0.85</v>
      </c>
      <c r="I28" s="211">
        <f>IF(I$39=0%,"-",IF(I$2=0,"-",ENGIE!$B28))</f>
        <v>0.66666666666666663</v>
      </c>
      <c r="J28" s="211">
        <f>IF(J$39=0%,"-",IF(J$2=0,"-",MOMENTUM!$B28))</f>
        <v>0.6</v>
      </c>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I28" s="56" t="s">
        <v>79</v>
      </c>
      <c r="AJ28" s="57">
        <v>0.2</v>
      </c>
    </row>
    <row r="29" spans="1:36" ht="18" customHeight="1" x14ac:dyDescent="0.2">
      <c r="A29" s="87" t="str">
        <f>REPORT!W4</f>
        <v>VIBRANCY</v>
      </c>
      <c r="B29" s="3">
        <f>IF($C$2=0,"-",AVERAGE(D29:L29))</f>
        <v>0.9</v>
      </c>
      <c r="C29" s="207" t="s">
        <v>1</v>
      </c>
      <c r="D29" s="208">
        <f>IF(D$39=0%,"-",IF(D$2=0,"-",AGL!$B29))</f>
        <v>0.66666666666666663</v>
      </c>
      <c r="E29" s="208">
        <f>IF(E$39=0%,"-",IF(E$2=0,"-",ALINTA!$B29))</f>
        <v>1</v>
      </c>
      <c r="F29" s="208">
        <f>IF(F$39=0%,"-",IF(F$2=0,"-",'ENERGY AUSTRALIA'!$B29))</f>
        <v>0.83333333333333337</v>
      </c>
      <c r="G29" s="208">
        <f>IF(G$39=0%,"-",IF(G$2=0,"-",ORIGIN!$B29))</f>
        <v>1</v>
      </c>
      <c r="H29" s="208">
        <f>IF(H$39=0%,"-",IF(H$2=0,"-",'RED ENERGY'!$B29))</f>
        <v>1</v>
      </c>
      <c r="I29" s="208">
        <f>IF(I$39=0%,"-",IF(I$2=0,"-",ENGIE!$B29))</f>
        <v>1</v>
      </c>
      <c r="J29" s="208">
        <f>IF(J$39=0%,"-",IF(J$2=0,"-",MOMENTUM!$B29))</f>
        <v>0.8</v>
      </c>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row>
    <row r="30" spans="1:36" ht="18" customHeight="1" x14ac:dyDescent="0.2">
      <c r="A30" s="87" t="str">
        <f>REPORT!X4</f>
        <v>EMPATHY</v>
      </c>
      <c r="B30" s="3">
        <f>IF($C$2=0,"-",AVERAGE(D30:L30))</f>
        <v>0.59999999999999987</v>
      </c>
      <c r="C30" s="207" t="s">
        <v>1</v>
      </c>
      <c r="D30" s="209">
        <f>IF(D$39=0%,"-",IF(D$2=0,"-",AGL!$B30))</f>
        <v>0</v>
      </c>
      <c r="E30" s="209">
        <f>IF(E$39=0%,"-",IF(E$2=0,"-",ALINTA!$B30))</f>
        <v>0.66666666666666663</v>
      </c>
      <c r="F30" s="209">
        <f>IF(F$39=0%,"-",IF(F$2=0,"-",'ENERGY AUSTRALIA'!$B30))</f>
        <v>0.66666666666666663</v>
      </c>
      <c r="G30" s="209">
        <f>IF(G$39=0%,"-",IF(G$2=0,"-",ORIGIN!$B30))</f>
        <v>0.6</v>
      </c>
      <c r="H30" s="209">
        <f>IF(H$39=0%,"-",IF(H$2=0,"-",'RED ENERGY'!$B30))</f>
        <v>1</v>
      </c>
      <c r="I30" s="209">
        <f>IF(I$39=0%,"-",IF(I$2=0,"-",ENGIE!$B30))</f>
        <v>0.66666666666666663</v>
      </c>
      <c r="J30" s="209">
        <f>IF(J$39=0%,"-",IF(J$2=0,"-",MOMENTUM!$B30))</f>
        <v>0.6</v>
      </c>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row>
    <row r="31" spans="1:36" ht="18" customHeight="1" x14ac:dyDescent="0.2">
      <c r="A31" s="87" t="str">
        <f>REPORT!Y4</f>
        <v>CONTROL</v>
      </c>
      <c r="B31" s="3">
        <f>IF($C$2=0,"-",AVERAGE(D31:L31))</f>
        <v>0.53809523809523818</v>
      </c>
      <c r="C31" s="207" t="s">
        <v>1</v>
      </c>
      <c r="D31" s="208">
        <f>IF(D$39=0%,"-",IF(D$2=0,"-",AGL!$B31))</f>
        <v>0</v>
      </c>
      <c r="E31" s="208">
        <f>IF(E$39=0%,"-",IF(E$2=0,"-",ALINTA!$B31))</f>
        <v>0.83333333333333337</v>
      </c>
      <c r="F31" s="208">
        <f>IF(F$39=0%,"-",IF(F$2=0,"-",'ENERGY AUSTRALIA'!$B31))</f>
        <v>0.83333333333333337</v>
      </c>
      <c r="G31" s="208">
        <f>IF(G$39=0%,"-",IF(G$2=0,"-",ORIGIN!$B31))</f>
        <v>0.2</v>
      </c>
      <c r="H31" s="208">
        <f>IF(H$39=0%,"-",IF(H$2=0,"-",'RED ENERGY'!$B31))</f>
        <v>0.8</v>
      </c>
      <c r="I31" s="208">
        <f>IF(I$39=0%,"-",IF(I$2=0,"-",ENGIE!$B31))</f>
        <v>0.5</v>
      </c>
      <c r="J31" s="208">
        <f>IF(J$39=0%,"-",IF(J$2=0,"-",MOMENTUM!$B31))</f>
        <v>0.6</v>
      </c>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row>
    <row r="32" spans="1:36" ht="18" customHeight="1" x14ac:dyDescent="0.2">
      <c r="A32" s="87" t="str">
        <f>REPORT!Z4</f>
        <v>CLARITY</v>
      </c>
      <c r="B32" s="3">
        <f>IF($C$2=0,"-",AVERAGE(D32:L32))</f>
        <v>0.60952380952380969</v>
      </c>
      <c r="C32" s="207" t="s">
        <v>1</v>
      </c>
      <c r="D32" s="209">
        <f>IF(D$39=0%,"-",IF(D$2=0,"-",AGL!$B32))</f>
        <v>0.5</v>
      </c>
      <c r="E32" s="209">
        <f>IF(E$39=0%,"-",IF(E$2=0,"-",ALINTA!$B32))</f>
        <v>0.83333333333333337</v>
      </c>
      <c r="F32" s="209">
        <f>IF(F$39=0%,"-",IF(F$2=0,"-",'ENERGY AUSTRALIA'!$B32))</f>
        <v>0.83333333333333337</v>
      </c>
      <c r="G32" s="209">
        <f>IF(G$39=0%,"-",IF(G$2=0,"-",ORIGIN!$B32))</f>
        <v>0.6</v>
      </c>
      <c r="H32" s="209">
        <f>IF(H$39=0%,"-",IF(H$2=0,"-",'RED ENERGY'!$B32))</f>
        <v>0.6</v>
      </c>
      <c r="I32" s="209">
        <f>IF(I$39=0%,"-",IF(I$2=0,"-",ENGIE!$B32))</f>
        <v>0.5</v>
      </c>
      <c r="J32" s="209">
        <f>IF(J$39=0%,"-",IF(J$2=0,"-",MOMENTUM!$B32))</f>
        <v>0.4</v>
      </c>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row>
    <row r="33" spans="1:35" ht="18" customHeight="1" x14ac:dyDescent="0.2">
      <c r="A33" s="5"/>
      <c r="B33" s="6"/>
      <c r="C33" s="6"/>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row>
    <row r="34" spans="1:35" s="215" customFormat="1" ht="18" customHeight="1" x14ac:dyDescent="0.25">
      <c r="A34" s="212" t="s">
        <v>50</v>
      </c>
      <c r="B34" s="37">
        <f>IF($C$2=0,"-",AVERAGE(D34:L34))</f>
        <v>5.2380952380952382E-2</v>
      </c>
      <c r="C34" s="213" t="s">
        <v>42</v>
      </c>
      <c r="D34" s="214">
        <f>IF(D$39=0%,"-",AGL!$B$34)</f>
        <v>0</v>
      </c>
      <c r="E34" s="214">
        <f>IF(E$39=0%,"-",ALINTA!$B$34)</f>
        <v>0.16666666666666666</v>
      </c>
      <c r="F34" s="214">
        <f>IF(F$39=0%,"-",'ENERGY AUSTRALIA'!$B$34)</f>
        <v>0</v>
      </c>
      <c r="G34" s="214">
        <f>IF(G$39=0%,"-",ORIGIN!$B$34)</f>
        <v>0.2</v>
      </c>
      <c r="H34" s="214">
        <f>IF(H$39=0%,"-",'RED ENERGY'!$B$34)</f>
        <v>0</v>
      </c>
      <c r="I34" s="214">
        <f>IF(I$39=0%,"-",ENGIE!$B$34)</f>
        <v>0</v>
      </c>
      <c r="J34" s="214">
        <f>IF(J$39=0%,"-",MOMENTUM!$B$34)</f>
        <v>0</v>
      </c>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I34" s="216"/>
    </row>
    <row r="35" spans="1:35" ht="18" customHeight="1" x14ac:dyDescent="0.2">
      <c r="A35" s="45" t="str">
        <f>REPORT!AC4</f>
        <v>AUDIO ISSUE (MAJOR IMPACT)</v>
      </c>
      <c r="B35" s="3">
        <f>IF($C$2=0,"-",AVERAGE(D35:L35))</f>
        <v>2.8571428571428574E-2</v>
      </c>
      <c r="C35" s="217">
        <v>-0.3</v>
      </c>
      <c r="D35" s="208">
        <f>IF(D$39=0%,"-",IF(D$2=0,"-",AGL!$B35))</f>
        <v>0</v>
      </c>
      <c r="E35" s="208">
        <f>IF(E$39=0%,"-",IF(E$2=0,"-",ALINTA!$B35))</f>
        <v>0</v>
      </c>
      <c r="F35" s="208">
        <f>IF(F$39=0%,"-",IF(F$2=0,"-",'ENERGY AUSTRALIA'!$B35))</f>
        <v>0</v>
      </c>
      <c r="G35" s="208">
        <f>IF(G$39=0%,"-",IF(G$2=0,"-",ORIGIN!$B35))</f>
        <v>0.2</v>
      </c>
      <c r="H35" s="208">
        <f>IF(H$39=0%,"-",IF(H$2=0,"-",'RED ENERGY'!$B35))</f>
        <v>0</v>
      </c>
      <c r="I35" s="208">
        <f>IF(I$39=0%,"-",IF(I$2=0,"-",ENGIE!$B35))</f>
        <v>0</v>
      </c>
      <c r="J35" s="208">
        <f>IF(J$39=0%,"-",IF(J$2=0,"-",MOMENTUM!$B35))</f>
        <v>0</v>
      </c>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I35" t="s">
        <v>1</v>
      </c>
    </row>
    <row r="36" spans="1:35" ht="18" customHeight="1" x14ac:dyDescent="0.2">
      <c r="A36" s="45" t="str">
        <f>REPORT!AD4</f>
        <v>AUDIO ISSUE (DISTRACTION)</v>
      </c>
      <c r="B36" s="3">
        <f>IF($C$2=0,"-",AVERAGE(D36:L36))</f>
        <v>2.3809523809523808E-2</v>
      </c>
      <c r="C36" s="217">
        <v>-0.1</v>
      </c>
      <c r="D36" s="209">
        <f>IF(D$39=0%,"-",IF(D$2=0,"-",AGL!$B36))</f>
        <v>0</v>
      </c>
      <c r="E36" s="209">
        <f>IF(E$39=0%,"-",IF(E$2=0,"-",ALINTA!$B36))</f>
        <v>0.16666666666666666</v>
      </c>
      <c r="F36" s="209">
        <f>IF(F$39=0%,"-",IF(F$2=0,"-",'ENERGY AUSTRALIA'!$B36))</f>
        <v>0</v>
      </c>
      <c r="G36" s="209">
        <f>IF(G$39=0%,"-",IF(G$2=0,"-",ORIGIN!$B36))</f>
        <v>0</v>
      </c>
      <c r="H36" s="209">
        <f>IF(H$39=0%,"-",IF(H$2=0,"-",'RED ENERGY'!$B36))</f>
        <v>0</v>
      </c>
      <c r="I36" s="209">
        <f>IF(I$39=0%,"-",IF(I$2=0,"-",ENGIE!$B36))</f>
        <v>0</v>
      </c>
      <c r="J36" s="209">
        <f>IF(J$39=0%,"-",IF(J$2=0,"-",MOMENTUM!$B36))</f>
        <v>0</v>
      </c>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row>
    <row r="37" spans="1:35" ht="18" customHeight="1" x14ac:dyDescent="0.2">
      <c r="A37" s="40"/>
      <c r="B37" s="41"/>
      <c r="C37" s="63"/>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row>
    <row r="38" spans="1:35" ht="18" customHeight="1" x14ac:dyDescent="0.2">
      <c r="A38" s="218" t="s">
        <v>35</v>
      </c>
      <c r="B38" s="36"/>
      <c r="C38" s="10" t="s">
        <v>1</v>
      </c>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row>
    <row r="39" spans="1:35" ht="18" customHeight="1" x14ac:dyDescent="0.2">
      <c r="A39" s="87" t="str">
        <f>REPORT!AF4</f>
        <v>CALL ANSWERED-QUALITY</v>
      </c>
      <c r="B39" s="49">
        <f t="shared" ref="B39:B45" si="2">IF($C$2=0,"-",AVERAGE(D39:L39))</f>
        <v>0.9285714285714286</v>
      </c>
      <c r="C39" s="220" t="s">
        <v>1</v>
      </c>
      <c r="D39" s="209">
        <f>IF(AGL!$C2=0,"-",AGL!$B39)</f>
        <v>1</v>
      </c>
      <c r="E39" s="209">
        <f>IF(ALINTA!$C2=0,"-",ALINTA!$B39)</f>
        <v>1</v>
      </c>
      <c r="F39" s="209">
        <f>IF('ENERGY AUSTRALIA'!$C2=0,"-",'ENERGY AUSTRALIA'!$B39)</f>
        <v>1</v>
      </c>
      <c r="G39" s="209">
        <f>IF(ORIGIN!$C2=0,"-",ORIGIN!$B39)</f>
        <v>0.83333333333333337</v>
      </c>
      <c r="H39" s="209">
        <f>IF('RED ENERGY'!$C2=0,"-",'RED ENERGY'!$B39)</f>
        <v>0.83333333333333337</v>
      </c>
      <c r="I39" s="209">
        <f>IF(ENGIE!$C2=0,"-",ENGIE!$B39)</f>
        <v>1</v>
      </c>
      <c r="J39" s="209">
        <f>IF(MOMENTUM!$C2=0,"-",MOMENTUM!$B39)</f>
        <v>0.83333333333333337</v>
      </c>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row>
    <row r="40" spans="1:35" ht="18" customHeight="1" x14ac:dyDescent="0.2">
      <c r="A40" s="87" t="str">
        <f>REPORT!AG4</f>
        <v>TALK TIME</v>
      </c>
      <c r="B40" s="283">
        <f t="shared" si="2"/>
        <v>4.9671516754850086E-3</v>
      </c>
      <c r="C40" s="221" t="s">
        <v>1</v>
      </c>
      <c r="D40" s="284">
        <f>IF(D$39=0%,"-",IF(D$2=0,"-",AGL!$B40))</f>
        <v>4.5331790123456792E-3</v>
      </c>
      <c r="E40" s="284">
        <f>IF(E$39=0%,"-",IF(E$2=0,"-",ALINTA!$B40))</f>
        <v>3.1809413580246916E-3</v>
      </c>
      <c r="F40" s="284">
        <f>IF(F$39=0%,"-",IF(F$2=0,"-",'ENERGY AUSTRALIA'!$B40))</f>
        <v>3.7943672839506177E-3</v>
      </c>
      <c r="G40" s="284">
        <f>IF(G$39=0%,"-",IF(G$2=0,"-",ORIGIN!$B40))</f>
        <v>3.2962962962962963E-3</v>
      </c>
      <c r="H40" s="284">
        <f>IF(H$39=0%,"-",IF(H$2=0,"-",'RED ENERGY'!$B40))</f>
        <v>6.3541666666666659E-3</v>
      </c>
      <c r="I40" s="284">
        <f>IF(I$39=0%,"-",IF(I$2=0,"-",ENGIE!$B40))</f>
        <v>8.6458333333333335E-3</v>
      </c>
      <c r="J40" s="284">
        <f>IF(J$39=0%,"-",IF(J$2=0,"-",MOMENTUM!$B40))</f>
        <v>4.9652777777777777E-3</v>
      </c>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46"/>
    </row>
    <row r="41" spans="1:35" ht="18" customHeight="1" x14ac:dyDescent="0.2">
      <c r="A41" s="87" t="str">
        <f>REPORT!AH4</f>
        <v>ASSESSOR RATING (0-10)</v>
      </c>
      <c r="B41" s="34">
        <f t="shared" si="2"/>
        <v>5.0761904761904759</v>
      </c>
      <c r="C41" s="220" t="s">
        <v>1</v>
      </c>
      <c r="D41" s="263">
        <f>IF(D$39=0%,"-",IF(D$2=0,"-",AGL!$B41))</f>
        <v>3.8333333333333335</v>
      </c>
      <c r="E41" s="263">
        <f>IF(E$39=0%,"-",IF(E$2=0,"-",ALINTA!$B41))</f>
        <v>5.5</v>
      </c>
      <c r="F41" s="263">
        <f>IF(F$39=0%,"-",IF(F$2=0,"-",'ENERGY AUSTRALIA'!$B41))</f>
        <v>6.166666666666667</v>
      </c>
      <c r="G41" s="263">
        <f>IF(G$39=0%,"-",IF(G$2=0,"-",ORIGIN!$B41))</f>
        <v>3.4</v>
      </c>
      <c r="H41" s="263">
        <f>IF(H$39=0%,"-",IF(H$2=0,"-",'RED ENERGY'!$B41))</f>
        <v>6</v>
      </c>
      <c r="I41" s="263">
        <f>IF(I$39=0%,"-",IF(I$2=0,"-",ENGIE!$B41))</f>
        <v>5.833333333333333</v>
      </c>
      <c r="J41" s="263">
        <f>IF(J$39=0%,"-",IF(J$2=0,"-",MOMENTUM!$B41))</f>
        <v>4.8</v>
      </c>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row>
    <row r="42" spans="1:35" ht="18" customHeight="1" x14ac:dyDescent="0.2">
      <c r="A42" s="87" t="str">
        <f>REPORT!AI4</f>
        <v>EXPLAINED KEY FEATURES</v>
      </c>
      <c r="B42" s="3">
        <f t="shared" si="2"/>
        <v>0.67380952380952386</v>
      </c>
      <c r="C42" s="221" t="s">
        <v>1</v>
      </c>
      <c r="D42" s="224">
        <f>IF(D$39=0%,"-",IF(D$2=0,"-",AGL!$B42))</f>
        <v>0.16666666666666666</v>
      </c>
      <c r="E42" s="224">
        <f>IF(E$39=0%,"-",IF(E$2=0,"-",ALINTA!$B42))</f>
        <v>0.4</v>
      </c>
      <c r="F42" s="224">
        <f>IF(F$39=0%,"-",IF(F$2=0,"-",'ENERGY AUSTRALIA'!$B42))</f>
        <v>0.4</v>
      </c>
      <c r="G42" s="224">
        <f>IF(G$39=0%,"-",IF(G$2=0,"-",ORIGIN!$B42))</f>
        <v>0.75</v>
      </c>
      <c r="H42" s="224">
        <f>IF(H$39=0%,"-",IF(H$2=0,"-",'RED ENERGY'!$B42))</f>
        <v>1</v>
      </c>
      <c r="I42" s="224">
        <f>IF(I$39=0%,"-",IF(I$2=0,"-",ENGIE!$B42))</f>
        <v>1</v>
      </c>
      <c r="J42" s="224">
        <f>IF(J$39=0%,"-",IF(J$2=0,"-",MOMENTUM!$B42))</f>
        <v>1</v>
      </c>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5"/>
    </row>
    <row r="43" spans="1:35" ht="18" customHeight="1" x14ac:dyDescent="0.2">
      <c r="A43" s="87" t="str">
        <f>REPORT!AJ4</f>
        <v>REVEALED PRICING</v>
      </c>
      <c r="B43" s="3">
        <f t="shared" si="2"/>
        <v>0.911904761904762</v>
      </c>
      <c r="C43" s="220" t="s">
        <v>1</v>
      </c>
      <c r="D43" s="209">
        <f>IF(D$39=0%,"-",IF(D$2=0,"-",AGL!$B43))</f>
        <v>0.83333333333333337</v>
      </c>
      <c r="E43" s="209">
        <f>IF(E$39=0%,"-",IF(E$2=0,"-",ALINTA!$B43))</f>
        <v>1</v>
      </c>
      <c r="F43" s="209">
        <f>IF(F$39=0%,"-",IF(F$2=0,"-",'ENERGY AUSTRALIA'!$B43))</f>
        <v>0.8</v>
      </c>
      <c r="G43" s="209">
        <f>IF(G$39=0%,"-",IF(G$2=0,"-",ORIGIN!$B43))</f>
        <v>0.75</v>
      </c>
      <c r="H43" s="209">
        <f>IF(H$39=0%,"-",IF(H$2=0,"-",'RED ENERGY'!$B43))</f>
        <v>1</v>
      </c>
      <c r="I43" s="209">
        <f>IF(I$39=0%,"-",IF(I$2=0,"-",ENGIE!$B43))</f>
        <v>1</v>
      </c>
      <c r="J43" s="209">
        <f>IF(J$39=0%,"-",IF(J$2=0,"-",MOMENTUM!$B43))</f>
        <v>1</v>
      </c>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ht="18" customHeight="1" x14ac:dyDescent="0.2">
      <c r="A44" s="87" t="str">
        <f>REPORT!AK4</f>
        <v>EXPLAINED ACTIONS &amp; PROCESS</v>
      </c>
      <c r="B44" s="3">
        <f t="shared" si="2"/>
        <v>0.70238095238095233</v>
      </c>
      <c r="C44" s="221" t="s">
        <v>1</v>
      </c>
      <c r="D44" s="224">
        <f>IF(D$39=0%,"-",IF(D$2=0,"-",AGL!$B44))</f>
        <v>0.33333333333333331</v>
      </c>
      <c r="E44" s="224">
        <f>IF(E$39=0%,"-",IF(E$2=0,"-",ALINTA!$B44))</f>
        <v>0.66666666666666663</v>
      </c>
      <c r="F44" s="224">
        <f>IF(F$39=0%,"-",IF(F$2=0,"-",'ENERGY AUSTRALIA'!$B44))</f>
        <v>0.66666666666666663</v>
      </c>
      <c r="G44" s="224">
        <f>IF(G$39=0%,"-",IF(G$2=0,"-",ORIGIN!$B44))</f>
        <v>0.25</v>
      </c>
      <c r="H44" s="224">
        <f>IF(H$39=0%,"-",IF(H$2=0,"-",'RED ENERGY'!$B44))</f>
        <v>1</v>
      </c>
      <c r="I44" s="224">
        <f>IF(I$39=0%,"-",IF(I$2=0,"-",ENGIE!$B44))</f>
        <v>1</v>
      </c>
      <c r="J44" s="224">
        <f>IF(J$39=0%,"-",IF(J$2=0,"-",MOMENTUM!$B44))</f>
        <v>1</v>
      </c>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row>
    <row r="45" spans="1:35" ht="18" customHeight="1" x14ac:dyDescent="0.2">
      <c r="A45" s="87" t="str">
        <f>REPORT!AL4</f>
        <v>WEBSITE EDUCATION</v>
      </c>
      <c r="B45" s="3">
        <f t="shared" si="2"/>
        <v>4.7619047619047616E-2</v>
      </c>
      <c r="C45" s="220" t="s">
        <v>1</v>
      </c>
      <c r="D45" s="209">
        <f>IF(D$39=0%,"-",IF(D$2=0,"-",AGL!$B45))</f>
        <v>0</v>
      </c>
      <c r="E45" s="209">
        <f>IF(E$39=0%,"-",IF(E$2=0,"-",ALINTA!$B45))</f>
        <v>0.33333333333333331</v>
      </c>
      <c r="F45" s="209">
        <f>IF(F$39=0%,"-",IF(F$2=0,"-",'ENERGY AUSTRALIA'!$B45))</f>
        <v>0</v>
      </c>
      <c r="G45" s="209">
        <f>IF(G$39=0%,"-",IF(G$2=0,"-",ORIGIN!$B45))</f>
        <v>0</v>
      </c>
      <c r="H45" s="209">
        <f>IF(H$39=0%,"-",IF(H$2=0,"-",'RED ENERGY'!$B45))</f>
        <v>0</v>
      </c>
      <c r="I45" s="209">
        <f>IF(I$39=0%,"-",IF(I$2=0,"-",ENGIE!$B45))</f>
        <v>0</v>
      </c>
      <c r="J45" s="209">
        <f>IF(J$39=0%,"-",IF(J$2=0,"-",MOMENTUM!$B45))</f>
        <v>0</v>
      </c>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I45" t="s">
        <v>1</v>
      </c>
    </row>
    <row r="46" spans="1:35" ht="18" customHeight="1" x14ac:dyDescent="0.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row>
    <row r="47" spans="1:35" ht="18" customHeight="1" x14ac:dyDescent="0.2">
      <c r="A47" s="226" t="s">
        <v>61</v>
      </c>
      <c r="B47" s="227"/>
      <c r="C47" s="88" t="s">
        <v>1</v>
      </c>
      <c r="D47" s="228" t="str">
        <f t="shared" ref="D47:L47" si="3">D1</f>
        <v>AGL</v>
      </c>
      <c r="E47" s="228" t="str">
        <f t="shared" si="3"/>
        <v>ALINTA</v>
      </c>
      <c r="F47" s="228" t="str">
        <f t="shared" si="3"/>
        <v>ENERGY AUSTRALIA</v>
      </c>
      <c r="G47" s="228" t="str">
        <f t="shared" si="3"/>
        <v>ORIGIN</v>
      </c>
      <c r="H47" s="228" t="str">
        <f t="shared" si="3"/>
        <v>RED ENERGY</v>
      </c>
      <c r="I47" s="228" t="str">
        <f t="shared" si="3"/>
        <v>ENGIE</v>
      </c>
      <c r="J47" s="228" t="str">
        <f t="shared" si="3"/>
        <v>MOMENTUM</v>
      </c>
      <c r="K47" s="228" t="str">
        <f t="shared" si="3"/>
        <v>ENERGY 8</v>
      </c>
      <c r="L47" s="228" t="str">
        <f t="shared" si="3"/>
        <v>ENERGY 9</v>
      </c>
      <c r="M47" s="228" t="str">
        <f t="shared" ref="M47:AG47" si="4">M1</f>
        <v>ENERGY 10</v>
      </c>
      <c r="N47" s="228" t="str">
        <f t="shared" si="4"/>
        <v>ENERGY 11</v>
      </c>
      <c r="O47" s="228" t="str">
        <f t="shared" si="4"/>
        <v>ENERGY 12</v>
      </c>
      <c r="P47" s="228" t="str">
        <f t="shared" si="4"/>
        <v>ENERGY 13</v>
      </c>
      <c r="Q47" s="228" t="str">
        <f t="shared" si="4"/>
        <v>ENERGY 14</v>
      </c>
      <c r="R47" s="228" t="str">
        <f t="shared" si="4"/>
        <v>ENERGY 15</v>
      </c>
      <c r="S47" s="228" t="str">
        <f t="shared" si="4"/>
        <v>ENERGY 16</v>
      </c>
      <c r="T47" s="228" t="str">
        <f t="shared" si="4"/>
        <v>ENERGY 17</v>
      </c>
      <c r="U47" s="228" t="str">
        <f t="shared" si="4"/>
        <v>ENERGY 18</v>
      </c>
      <c r="V47" s="228" t="str">
        <f t="shared" si="4"/>
        <v>ENERGY 19</v>
      </c>
      <c r="W47" s="228" t="str">
        <f t="shared" si="4"/>
        <v>ENERGY 20</v>
      </c>
      <c r="X47" s="228" t="str">
        <f t="shared" si="4"/>
        <v>ENERGY 21</v>
      </c>
      <c r="Y47" s="228" t="str">
        <f t="shared" si="4"/>
        <v>ENERGY 22</v>
      </c>
      <c r="Z47" s="228" t="str">
        <f t="shared" si="4"/>
        <v>ENERGY 23</v>
      </c>
      <c r="AA47" s="228" t="str">
        <f t="shared" si="4"/>
        <v>ENERGY 24</v>
      </c>
      <c r="AB47" s="228"/>
      <c r="AC47" s="228"/>
      <c r="AD47" s="228"/>
      <c r="AE47" s="228" t="str">
        <f t="shared" si="4"/>
        <v>ENERGY 28</v>
      </c>
      <c r="AF47" s="228" t="str">
        <f t="shared" si="4"/>
        <v>ENERGY 29</v>
      </c>
      <c r="AG47" s="228" t="str">
        <f t="shared" si="4"/>
        <v>ENERGY 30</v>
      </c>
    </row>
    <row r="48" spans="1:35" ht="21" x14ac:dyDescent="0.2">
      <c r="A48" s="89" t="s">
        <v>62</v>
      </c>
      <c r="B48" s="229">
        <f>IF(B51="-","-",AVERAGE(D48:L48))</f>
        <v>0.56573143424036276</v>
      </c>
      <c r="C48" s="230" t="s">
        <v>1</v>
      </c>
      <c r="D48" s="90">
        <f t="shared" ref="D48:I48" si="5">IF(D51="-","-",IF(D$67&lt;0%,0%,D$67))</f>
        <v>0.41904166666666665</v>
      </c>
      <c r="E48" s="90">
        <f t="shared" si="5"/>
        <v>0.57202083333333342</v>
      </c>
      <c r="F48" s="90">
        <f t="shared" si="5"/>
        <v>0.64276190476190465</v>
      </c>
      <c r="G48" s="90">
        <f t="shared" si="5"/>
        <v>0.42071428571428571</v>
      </c>
      <c r="H48" s="90">
        <f t="shared" si="5"/>
        <v>0.67870238095238089</v>
      </c>
      <c r="I48" s="90">
        <f t="shared" si="5"/>
        <v>0.71954861111111112</v>
      </c>
      <c r="J48" s="90">
        <f>IF(J51="-","-",IF(J$67&lt;0%,0%,J$67))</f>
        <v>0.50733035714285712</v>
      </c>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row>
    <row r="49" spans="1:33" ht="19" x14ac:dyDescent="0.2">
      <c r="A49" s="231" t="s">
        <v>1</v>
      </c>
      <c r="B49" s="232" t="s">
        <v>1</v>
      </c>
      <c r="C49" s="233"/>
      <c r="D49" s="233"/>
      <c r="E49" s="233"/>
      <c r="F49" s="233"/>
      <c r="G49" s="233"/>
      <c r="H49" s="233"/>
      <c r="I49" s="233"/>
      <c r="J49" s="233"/>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row>
    <row r="50" spans="1:33" ht="19" x14ac:dyDescent="0.2">
      <c r="A50" s="231"/>
      <c r="B50" s="234" t="s">
        <v>1</v>
      </c>
      <c r="C50" s="235" t="s">
        <v>63</v>
      </c>
      <c r="D50" s="233"/>
      <c r="E50" s="233"/>
      <c r="F50" s="233"/>
      <c r="G50" s="233"/>
      <c r="H50" s="233"/>
      <c r="I50" s="233"/>
      <c r="J50" s="233"/>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row>
    <row r="51" spans="1:33" x14ac:dyDescent="0.2">
      <c r="A51" s="92" t="s">
        <v>64</v>
      </c>
      <c r="B51" s="93">
        <f>IF(D51="-","-",AVERAGE(D51:L51))</f>
        <v>0.63442885487528344</v>
      </c>
      <c r="C51" s="94">
        <v>0.3</v>
      </c>
      <c r="D51" s="285">
        <f>[1]OVERALL!D$4</f>
        <v>0.44402777777777785</v>
      </c>
      <c r="E51" s="285">
        <f>[1]OVERALL!E$4</f>
        <v>0.60395833333333326</v>
      </c>
      <c r="F51" s="285">
        <f>[1]OVERALL!F$4</f>
        <v>0.54323412698412699</v>
      </c>
      <c r="G51" s="285">
        <f>[1]OVERALL!G$4</f>
        <v>0.59543650793650793</v>
      </c>
      <c r="H51" s="285">
        <f>[1]OVERALL!H$4</f>
        <v>0.7767857142857143</v>
      </c>
      <c r="I51" s="285">
        <f>[1]OVERALL!I$4</f>
        <v>0.953125</v>
      </c>
      <c r="J51" s="285">
        <f>[1]OVERALL!J$4</f>
        <v>0.52443452380952371</v>
      </c>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row>
    <row r="52" spans="1:33" x14ac:dyDescent="0.2">
      <c r="A52" s="96" t="s">
        <v>65</v>
      </c>
      <c r="B52" s="97">
        <f>IF($C$2=0,"-",AVERAGE(D52:L52))</f>
        <v>0.53628968253968257</v>
      </c>
      <c r="C52" s="94">
        <v>0.7</v>
      </c>
      <c r="D52" s="95">
        <f t="shared" ref="D52:J52" si="6">D4</f>
        <v>0.40833333333333338</v>
      </c>
      <c r="E52" s="95">
        <f t="shared" si="6"/>
        <v>0.55833333333333346</v>
      </c>
      <c r="F52" s="95">
        <f t="shared" si="6"/>
        <v>0.68541666666666667</v>
      </c>
      <c r="G52" s="95">
        <f t="shared" si="6"/>
        <v>0.34583333333333333</v>
      </c>
      <c r="H52" s="95">
        <f t="shared" si="6"/>
        <v>0.63666666666666671</v>
      </c>
      <c r="I52" s="95">
        <f t="shared" si="6"/>
        <v>0.61944444444444446</v>
      </c>
      <c r="J52" s="95">
        <f t="shared" si="6"/>
        <v>0.5</v>
      </c>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row>
    <row r="53" spans="1:33" x14ac:dyDescent="0.2">
      <c r="A53" s="237" t="s">
        <v>1</v>
      </c>
      <c r="B53" s="236"/>
      <c r="C53" s="238"/>
      <c r="D53" s="236"/>
      <c r="E53" s="236"/>
      <c r="F53" s="236"/>
      <c r="G53" s="236"/>
      <c r="H53" s="236"/>
      <c r="I53" s="236"/>
      <c r="J53" s="236"/>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row>
    <row r="54" spans="1:33" x14ac:dyDescent="0.2">
      <c r="A54" s="239" t="s">
        <v>66</v>
      </c>
      <c r="B54" s="112"/>
      <c r="C54" s="240" t="s">
        <v>1</v>
      </c>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row>
    <row r="55" spans="1:33" x14ac:dyDescent="0.2">
      <c r="A55" s="92" t="str">
        <f>A51</f>
        <v>ACCESS</v>
      </c>
      <c r="B55" s="93">
        <f>IF(B51="-","-",B51*$C$51)</f>
        <v>0.19032865646258504</v>
      </c>
      <c r="C55" s="246"/>
      <c r="D55" s="98">
        <f t="shared" ref="D55:I55" si="7">IF(D51="-","-",D51*$C$51)</f>
        <v>0.13320833333333335</v>
      </c>
      <c r="E55" s="98">
        <f t="shared" si="7"/>
        <v>0.18118749999999997</v>
      </c>
      <c r="F55" s="98">
        <f t="shared" si="7"/>
        <v>0.16297023809523808</v>
      </c>
      <c r="G55" s="98">
        <f t="shared" si="7"/>
        <v>0.17863095238095236</v>
      </c>
      <c r="H55" s="98">
        <f t="shared" si="7"/>
        <v>0.23303571428571429</v>
      </c>
      <c r="I55" s="98">
        <f t="shared" si="7"/>
        <v>0.28593750000000001</v>
      </c>
      <c r="J55" s="98">
        <f>IF(J51="-","-",J51*$C$51)</f>
        <v>0.15733035714285712</v>
      </c>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row>
    <row r="56" spans="1:33" x14ac:dyDescent="0.2">
      <c r="A56" s="96" t="str">
        <f>A52</f>
        <v>QUALITY</v>
      </c>
      <c r="B56" s="97">
        <f>IF($C$2=0,"-",B52*$C$52)</f>
        <v>0.37540277777777775</v>
      </c>
      <c r="C56" s="246"/>
      <c r="D56" s="99">
        <f t="shared" ref="D56:J56" si="8">IF(D52="-","-",D52*$C$52)</f>
        <v>0.28583333333333333</v>
      </c>
      <c r="E56" s="99">
        <f t="shared" si="8"/>
        <v>0.39083333333333342</v>
      </c>
      <c r="F56" s="99">
        <f t="shared" si="8"/>
        <v>0.47979166666666662</v>
      </c>
      <c r="G56" s="99">
        <f t="shared" si="8"/>
        <v>0.24208333333333332</v>
      </c>
      <c r="H56" s="99">
        <f t="shared" si="8"/>
        <v>0.44566666666666666</v>
      </c>
      <c r="I56" s="99">
        <f t="shared" si="8"/>
        <v>0.43361111111111111</v>
      </c>
      <c r="J56" s="99">
        <f t="shared" si="8"/>
        <v>0.35</v>
      </c>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row>
    <row r="57" spans="1:33" ht="19" x14ac:dyDescent="0.25">
      <c r="A57" s="100" t="s">
        <v>67</v>
      </c>
      <c r="B57" s="101">
        <f>IF(B51="-","-",AVERAGE(D57:L57))</f>
        <v>0.56573143424036276</v>
      </c>
      <c r="C57" s="241" t="s">
        <v>1</v>
      </c>
      <c r="D57" s="101">
        <f t="shared" ref="D57:I57" si="9">IF(D51="-","-",SUM(D55:D56))</f>
        <v>0.41904166666666665</v>
      </c>
      <c r="E57" s="101">
        <f t="shared" si="9"/>
        <v>0.57202083333333342</v>
      </c>
      <c r="F57" s="101">
        <f t="shared" si="9"/>
        <v>0.64276190476190465</v>
      </c>
      <c r="G57" s="101">
        <f t="shared" si="9"/>
        <v>0.42071428571428571</v>
      </c>
      <c r="H57" s="101">
        <f t="shared" si="9"/>
        <v>0.67870238095238089</v>
      </c>
      <c r="I57" s="101">
        <f t="shared" si="9"/>
        <v>0.71954861111111112</v>
      </c>
      <c r="J57" s="101">
        <f>IF(J51="-","-",SUM(J55:J56))</f>
        <v>0.50733035714285712</v>
      </c>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row>
    <row r="58" spans="1:33" x14ac:dyDescent="0.2">
      <c r="A58" s="112"/>
      <c r="B58" s="112"/>
      <c r="C58" s="112"/>
      <c r="D58" s="242" t="s">
        <v>1</v>
      </c>
      <c r="E58" s="242" t="s">
        <v>1</v>
      </c>
      <c r="F58" s="242" t="s">
        <v>1</v>
      </c>
      <c r="G58" s="242" t="s">
        <v>1</v>
      </c>
      <c r="H58" s="242" t="s">
        <v>1</v>
      </c>
      <c r="I58" s="242" t="s">
        <v>1</v>
      </c>
      <c r="J58" s="242" t="s">
        <v>1</v>
      </c>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row>
    <row r="59" spans="1:33" x14ac:dyDescent="0.2">
      <c r="A59" s="102" t="s">
        <v>68</v>
      </c>
      <c r="B59" s="251">
        <f>IF(B51="-","-",AVERAGE(D59:L59))</f>
        <v>0.9285714285714286</v>
      </c>
      <c r="C59" s="260"/>
      <c r="D59" s="103">
        <f t="shared" ref="D59:J59" si="10">D39</f>
        <v>1</v>
      </c>
      <c r="E59" s="103">
        <f t="shared" si="10"/>
        <v>1</v>
      </c>
      <c r="F59" s="103">
        <f t="shared" si="10"/>
        <v>1</v>
      </c>
      <c r="G59" s="103">
        <f t="shared" si="10"/>
        <v>0.83333333333333337</v>
      </c>
      <c r="H59" s="103">
        <f t="shared" si="10"/>
        <v>0.83333333333333337</v>
      </c>
      <c r="I59" s="103">
        <f t="shared" si="10"/>
        <v>1</v>
      </c>
      <c r="J59" s="103">
        <f t="shared" si="10"/>
        <v>0.83333333333333337</v>
      </c>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row>
    <row r="60" spans="1:33" x14ac:dyDescent="0.2">
      <c r="A60" s="104" t="s">
        <v>69</v>
      </c>
      <c r="B60" s="351" t="s">
        <v>1</v>
      </c>
      <c r="C60" s="352"/>
      <c r="D60" s="105">
        <f t="shared" ref="D60:I60" si="11">IF(D51="-","-",SUM(D63:D66))</f>
        <v>0</v>
      </c>
      <c r="E60" s="105">
        <f t="shared" si="11"/>
        <v>0</v>
      </c>
      <c r="F60" s="105">
        <f t="shared" si="11"/>
        <v>0</v>
      </c>
      <c r="G60" s="105">
        <f t="shared" si="11"/>
        <v>0</v>
      </c>
      <c r="H60" s="105">
        <f t="shared" si="11"/>
        <v>0</v>
      </c>
      <c r="I60" s="105">
        <f t="shared" si="11"/>
        <v>0</v>
      </c>
      <c r="J60" s="105">
        <f>IF(J51="-","-",SUM(J63:J66))</f>
        <v>0</v>
      </c>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row>
    <row r="61" spans="1:33" x14ac:dyDescent="0.2">
      <c r="A61" s="243"/>
      <c r="B61" s="118"/>
      <c r="C61" s="119"/>
      <c r="D61" s="118"/>
      <c r="E61" s="118"/>
      <c r="F61" s="118"/>
      <c r="G61" s="118"/>
      <c r="H61" s="118"/>
      <c r="I61" s="118"/>
      <c r="J61" s="118"/>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row>
    <row r="62" spans="1:33" ht="19" x14ac:dyDescent="0.25">
      <c r="A62" s="244" t="s">
        <v>69</v>
      </c>
      <c r="B62" s="245"/>
      <c r="C62" s="119"/>
      <c r="D62" s="246"/>
      <c r="E62" s="246"/>
      <c r="F62" s="246"/>
      <c r="G62" s="246"/>
      <c r="H62" s="246"/>
      <c r="I62" s="246"/>
      <c r="J62" s="246"/>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row>
    <row r="63" spans="1:33" x14ac:dyDescent="0.2">
      <c r="A63" s="106" t="s">
        <v>70</v>
      </c>
      <c r="B63" s="107">
        <v>0</v>
      </c>
      <c r="C63" s="224"/>
      <c r="D63" s="264">
        <f t="shared" ref="D63:J63" si="12">IF(D59&gt;75%, $B$63, "-")</f>
        <v>0</v>
      </c>
      <c r="E63" s="264">
        <f t="shared" si="12"/>
        <v>0</v>
      </c>
      <c r="F63" s="264">
        <f t="shared" si="12"/>
        <v>0</v>
      </c>
      <c r="G63" s="264">
        <f t="shared" si="12"/>
        <v>0</v>
      </c>
      <c r="H63" s="264">
        <f t="shared" si="12"/>
        <v>0</v>
      </c>
      <c r="I63" s="264">
        <f t="shared" si="12"/>
        <v>0</v>
      </c>
      <c r="J63" s="264">
        <f t="shared" si="12"/>
        <v>0</v>
      </c>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row>
    <row r="64" spans="1:33" x14ac:dyDescent="0.2">
      <c r="A64" s="247" t="s">
        <v>71</v>
      </c>
      <c r="B64" s="107">
        <v>0.1</v>
      </c>
      <c r="C64" s="261"/>
      <c r="D64" s="264" t="str">
        <f t="shared" ref="D64:J64" si="13">IF(D59&gt;50%, IF(D59&lt;=75%, $B$64, "-"), "-")</f>
        <v>-</v>
      </c>
      <c r="E64" s="264" t="str">
        <f t="shared" si="13"/>
        <v>-</v>
      </c>
      <c r="F64" s="264" t="str">
        <f t="shared" si="13"/>
        <v>-</v>
      </c>
      <c r="G64" s="264" t="str">
        <f t="shared" si="13"/>
        <v>-</v>
      </c>
      <c r="H64" s="264" t="str">
        <f t="shared" si="13"/>
        <v>-</v>
      </c>
      <c r="I64" s="264" t="str">
        <f t="shared" si="13"/>
        <v>-</v>
      </c>
      <c r="J64" s="264" t="str">
        <f t="shared" si="13"/>
        <v>-</v>
      </c>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row>
    <row r="65" spans="1:33" x14ac:dyDescent="0.2">
      <c r="A65" s="247" t="s">
        <v>72</v>
      </c>
      <c r="B65" s="107">
        <v>0.2</v>
      </c>
      <c r="C65" s="261"/>
      <c r="D65" s="264" t="str">
        <f t="shared" ref="D65:J65" si="14">IF(D59&lt;=50%, IF(D59&gt;25%, $B$65, "-"), "-")</f>
        <v>-</v>
      </c>
      <c r="E65" s="264" t="str">
        <f t="shared" si="14"/>
        <v>-</v>
      </c>
      <c r="F65" s="264" t="str">
        <f t="shared" si="14"/>
        <v>-</v>
      </c>
      <c r="G65" s="264" t="str">
        <f t="shared" si="14"/>
        <v>-</v>
      </c>
      <c r="H65" s="264" t="str">
        <f t="shared" si="14"/>
        <v>-</v>
      </c>
      <c r="I65" s="264" t="str">
        <f t="shared" si="14"/>
        <v>-</v>
      </c>
      <c r="J65" s="264" t="str">
        <f t="shared" si="14"/>
        <v>-</v>
      </c>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row>
    <row r="66" spans="1:33" x14ac:dyDescent="0.2">
      <c r="A66" s="248" t="s">
        <v>73</v>
      </c>
      <c r="B66" s="107">
        <v>0.3</v>
      </c>
      <c r="C66" s="262"/>
      <c r="D66" s="264" t="str">
        <f t="shared" ref="D66:J66" si="15">IF(D59&lt;=25%, $B$66, "-")</f>
        <v>-</v>
      </c>
      <c r="E66" s="264" t="str">
        <f t="shared" si="15"/>
        <v>-</v>
      </c>
      <c r="F66" s="264" t="str">
        <f t="shared" si="15"/>
        <v>-</v>
      </c>
      <c r="G66" s="264" t="str">
        <f t="shared" si="15"/>
        <v>-</v>
      </c>
      <c r="H66" s="264" t="str">
        <f t="shared" si="15"/>
        <v>-</v>
      </c>
      <c r="I66" s="264" t="str">
        <f t="shared" si="15"/>
        <v>-</v>
      </c>
      <c r="J66" s="264" t="str">
        <f t="shared" si="15"/>
        <v>-</v>
      </c>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row>
    <row r="67" spans="1:33" x14ac:dyDescent="0.2">
      <c r="A67" s="112"/>
      <c r="B67" s="112"/>
      <c r="C67" s="112"/>
      <c r="D67" s="108">
        <f t="shared" ref="D67:I67" si="16">IF(D51="-","-",D57-D60)</f>
        <v>0.41904166666666665</v>
      </c>
      <c r="E67" s="108">
        <f t="shared" si="16"/>
        <v>0.57202083333333342</v>
      </c>
      <c r="F67" s="108">
        <f t="shared" si="16"/>
        <v>0.64276190476190465</v>
      </c>
      <c r="G67" s="108">
        <f t="shared" si="16"/>
        <v>0.42071428571428571</v>
      </c>
      <c r="H67" s="108">
        <f t="shared" si="16"/>
        <v>0.67870238095238089</v>
      </c>
      <c r="I67" s="108">
        <f t="shared" si="16"/>
        <v>0.71954861111111112</v>
      </c>
      <c r="J67" s="108">
        <f>IF(J51="-","-",J57-J60)</f>
        <v>0.50733035714285712</v>
      </c>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row>
    <row r="69" spans="1:33" s="267" customFormat="1" x14ac:dyDescent="0.2">
      <c r="A69" s="112" t="s">
        <v>82</v>
      </c>
      <c r="B69" s="286">
        <f>[1]OVERALL!$B$70</f>
        <v>2.3156415343915343E-3</v>
      </c>
      <c r="C69" s="268"/>
      <c r="D69" s="286">
        <f>[1]OVERALL!D$70</f>
        <v>1.402391975308642E-3</v>
      </c>
      <c r="E69" s="286">
        <f>[1]OVERALL!E$70</f>
        <v>1.7746913580246914E-3</v>
      </c>
      <c r="F69" s="286">
        <f>[1]OVERALL!F$70</f>
        <v>2.2569444444444447E-3</v>
      </c>
      <c r="G69" s="286">
        <f>[1]OVERALL!G$70</f>
        <v>4.3769290123456791E-3</v>
      </c>
      <c r="H69" s="286">
        <f>[1]OVERALL!H$70</f>
        <v>3.1616512345679013E-3</v>
      </c>
      <c r="I69" s="286">
        <f>[1]OVERALL!I$70</f>
        <v>6.2692901234567898E-4</v>
      </c>
      <c r="J69" s="286">
        <f>[1]OVERALL!J$70</f>
        <v>2.6099537037037033E-3</v>
      </c>
    </row>
    <row r="70" spans="1:33" s="267" customFormat="1" x14ac:dyDescent="0.2">
      <c r="A70" s="268" t="s">
        <v>41</v>
      </c>
      <c r="B70" s="269">
        <f>B40</f>
        <v>4.9671516754850086E-3</v>
      </c>
      <c r="C70" s="268"/>
      <c r="D70" s="270">
        <f t="shared" ref="D70:I70" si="17">D40</f>
        <v>4.5331790123456792E-3</v>
      </c>
      <c r="E70" s="270">
        <f t="shared" si="17"/>
        <v>3.1809413580246916E-3</v>
      </c>
      <c r="F70" s="270">
        <f t="shared" si="17"/>
        <v>3.7943672839506177E-3</v>
      </c>
      <c r="G70" s="270">
        <f t="shared" si="17"/>
        <v>3.2962962962962963E-3</v>
      </c>
      <c r="H70" s="270">
        <f t="shared" si="17"/>
        <v>6.3541666666666659E-3</v>
      </c>
      <c r="I70" s="270">
        <f t="shared" si="17"/>
        <v>8.6458333333333335E-3</v>
      </c>
      <c r="J70" s="270">
        <f>J40</f>
        <v>4.9652777777777777E-3</v>
      </c>
    </row>
    <row r="71" spans="1:33" s="267" customFormat="1" x14ac:dyDescent="0.2">
      <c r="A71" s="250" t="s">
        <v>81</v>
      </c>
      <c r="B71" s="271">
        <f>IF(B69="-","-",SUM(B69:B70))</f>
        <v>7.2827932098765424E-3</v>
      </c>
      <c r="C71" s="268"/>
      <c r="D71" s="271">
        <f t="shared" ref="D71:I71" si="18">IF(D69="-","-",SUM(D69:D70))</f>
        <v>5.9355709876543214E-3</v>
      </c>
      <c r="E71" s="271">
        <f t="shared" si="18"/>
        <v>4.9556327160493827E-3</v>
      </c>
      <c r="F71" s="271">
        <f t="shared" si="18"/>
        <v>6.0513117283950623E-3</v>
      </c>
      <c r="G71" s="271">
        <f t="shared" si="18"/>
        <v>7.6732253086419754E-3</v>
      </c>
      <c r="H71" s="271">
        <f t="shared" si="18"/>
        <v>9.5158179012345672E-3</v>
      </c>
      <c r="I71" s="271">
        <f t="shared" si="18"/>
        <v>9.2727623456790118E-3</v>
      </c>
      <c r="J71" s="271">
        <f>IF(J69="-","-",SUM(J69:J70))</f>
        <v>7.5752314814814814E-3</v>
      </c>
    </row>
    <row r="73" spans="1:33" x14ac:dyDescent="0.2">
      <c r="J73" t="s">
        <v>84</v>
      </c>
    </row>
  </sheetData>
  <sortState xmlns:xlrd2="http://schemas.microsoft.com/office/spreadsheetml/2017/richdata2" ref="AI15:AI20">
    <sortCondition ref="AI15:AI20"/>
  </sortState>
  <mergeCells count="1">
    <mergeCell ref="B60:C60"/>
  </mergeCells>
  <phoneticPr fontId="25"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90" zoomScaleNormal="90" workbookViewId="0">
      <pane xSplit="3" ySplit="6" topLeftCell="D23" activePane="bottomRight" state="frozen"/>
      <selection activeCell="D41" sqref="D41:F49"/>
      <selection pane="topRight" activeCell="D41" sqref="D41:F49"/>
      <selection pane="bottomLeft" activeCell="D41" sqref="D41:F49"/>
      <selection pane="bottomRight" activeCell="F63" sqref="F63"/>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8" t="s">
        <v>148</v>
      </c>
      <c r="E2" s="302" t="s">
        <v>157</v>
      </c>
      <c r="F2" s="294" t="s">
        <v>123</v>
      </c>
      <c r="G2" s="312" t="s">
        <v>123</v>
      </c>
      <c r="H2" s="306" t="s">
        <v>167</v>
      </c>
      <c r="I2" s="296" t="s">
        <v>135</v>
      </c>
    </row>
    <row r="3" spans="1:11" ht="19" x14ac:dyDescent="0.2">
      <c r="A3" s="32" t="str">
        <f>OVERALL!D1</f>
        <v>AGL</v>
      </c>
      <c r="B3" s="249">
        <f>OVERALL!D3</f>
        <v>0.41904166666666665</v>
      </c>
      <c r="C3" s="109" t="s">
        <v>74</v>
      </c>
      <c r="D3" s="110">
        <f>IF(D2="-","-",D57)</f>
        <v>0.51716666666666666</v>
      </c>
      <c r="E3" s="110">
        <f t="shared" ref="E3:I3" si="0">IF(E2="-","-",E57)</f>
        <v>0.41216666666666663</v>
      </c>
      <c r="F3" s="110">
        <f t="shared" si="0"/>
        <v>0.44591666666666663</v>
      </c>
      <c r="G3" s="110">
        <f t="shared" si="0"/>
        <v>0.36216666666666664</v>
      </c>
      <c r="H3" s="110">
        <f t="shared" si="0"/>
        <v>0.29216666666666669</v>
      </c>
      <c r="I3" s="110">
        <f t="shared" si="0"/>
        <v>0.48466666666666669</v>
      </c>
    </row>
    <row r="4" spans="1:11" ht="18" customHeight="1" x14ac:dyDescent="0.2">
      <c r="A4" s="17" t="str">
        <f>OVERALL!A4</f>
        <v>QUALITY SCORE</v>
      </c>
      <c r="B4" s="38">
        <f>IF(C2=0, "-", IF(COUNTIF(D39:I39, "n")=C2, "-", IF(COUNT(D4:I4)=0, "-", AVERAGE(D4:I4))))</f>
        <v>0.40833333333333338</v>
      </c>
      <c r="C4" s="59" t="s">
        <v>1</v>
      </c>
      <c r="D4" s="38">
        <f>IF(D48&lt;0%,0%,IF(D$2="-","-",IF(D$39="n", "-", SUM(D$6,D$12,D$17,D$23,D$28,D$34))))</f>
        <v>0.5541666666666667</v>
      </c>
      <c r="E4" s="38">
        <f t="shared" ref="E4:I4" si="1">IF(E48&lt;0%,0%,IF(E$2="-","-",IF(E$39="n", "-", SUM(E$6,E$12,E$17,E$23,E$28,E$34))))</f>
        <v>0.40416666666666667</v>
      </c>
      <c r="F4" s="38">
        <f t="shared" si="1"/>
        <v>0.39166666666666666</v>
      </c>
      <c r="G4" s="38">
        <f t="shared" si="1"/>
        <v>0.34166666666666667</v>
      </c>
      <c r="H4" s="38">
        <f t="shared" si="1"/>
        <v>0.24166666666666667</v>
      </c>
      <c r="I4" s="38">
        <f t="shared" si="1"/>
        <v>0.51666666666666672</v>
      </c>
      <c r="K4" s="12" t="s">
        <v>8</v>
      </c>
    </row>
    <row r="5" spans="1:11" ht="18" customHeight="1" x14ac:dyDescent="0.25">
      <c r="A5" s="58" t="s">
        <v>49</v>
      </c>
      <c r="B5" s="59">
        <f>IF(B6="-","-",AVERAGE(D5:I5))</f>
        <v>0.40833333333333338</v>
      </c>
      <c r="C5" s="59" t="s">
        <v>1</v>
      </c>
      <c r="D5" s="61">
        <f t="shared" ref="D5:I5" si="2">IF(D$2="","",IF(D$39="n", "", SUM(D$6,D$12,D$17,D$23,D$28)))</f>
        <v>0.5541666666666667</v>
      </c>
      <c r="E5" s="61">
        <f t="shared" si="2"/>
        <v>0.40416666666666667</v>
      </c>
      <c r="F5" s="61">
        <f t="shared" si="2"/>
        <v>0.39166666666666666</v>
      </c>
      <c r="G5" s="61">
        <f t="shared" si="2"/>
        <v>0.34166666666666667</v>
      </c>
      <c r="H5" s="61">
        <f t="shared" si="2"/>
        <v>0.24166666666666667</v>
      </c>
      <c r="I5" s="61">
        <f t="shared" si="2"/>
        <v>0.51666666666666672</v>
      </c>
      <c r="K5" s="7" t="s">
        <v>17</v>
      </c>
    </row>
    <row r="6" spans="1:11" ht="18" customHeight="1" x14ac:dyDescent="0.2">
      <c r="A6" s="20" t="str">
        <f>OVERALL!A6</f>
        <v>ENGAGE</v>
      </c>
      <c r="B6" s="21">
        <f>IF(C11=0,"-",AVERAGE(B7:B10))</f>
        <v>0.33333333333333337</v>
      </c>
      <c r="C6" s="62" t="s">
        <v>0</v>
      </c>
      <c r="D6" s="28">
        <f>IF(D11=0,"-",(COUNTIF(D7:D10, "y")/D11)*OVERALL!$C$6)</f>
        <v>0.05</v>
      </c>
      <c r="E6" s="28">
        <f>IF(E11=0,"-",(COUNTIF(E7:E10, "y")/E11)*OVERALL!$C$6)</f>
        <v>0.05</v>
      </c>
      <c r="F6" s="28">
        <f>IF(F11=0,"-",(COUNTIF(F7:F10, "y")/F11)*OVERALL!$C$6)</f>
        <v>0.05</v>
      </c>
      <c r="G6" s="28">
        <f>IF(G11=0,"-",(COUNTIF(G7:G10, "y")/G11)*OVERALL!$C$6)</f>
        <v>0.05</v>
      </c>
      <c r="H6" s="28">
        <f>IF(H11=0,"-",(COUNTIF(H7:H10, "y")/H11)*OVERALL!$C$6)</f>
        <v>0.05</v>
      </c>
      <c r="I6" s="28">
        <f>IF(I11=0,"-",(COUNTIF(I7:I10, "y")/I11)*OVERALL!$C$6)</f>
        <v>0.15000000000000002</v>
      </c>
    </row>
    <row r="7" spans="1:11" ht="18" customHeight="1" x14ac:dyDescent="0.2">
      <c r="A7" s="33" t="str">
        <f>OVERALL!A7</f>
        <v>WELCOME</v>
      </c>
      <c r="B7" s="3">
        <f>IF(C7=0,"-",COUNTIF(D7:I7,"y")/C7)</f>
        <v>0.83333333333333337</v>
      </c>
      <c r="C7" s="26">
        <f>$C$2-COUNTIF(D7:I7, "-")</f>
        <v>6</v>
      </c>
      <c r="D7" s="297" t="s">
        <v>122</v>
      </c>
      <c r="E7" s="301" t="s">
        <v>122</v>
      </c>
      <c r="F7" s="293" t="s">
        <v>121</v>
      </c>
      <c r="G7" s="311" t="s">
        <v>122</v>
      </c>
      <c r="H7" s="305" t="s">
        <v>122</v>
      </c>
      <c r="I7" s="295" t="s">
        <v>122</v>
      </c>
      <c r="K7" s="11" t="s">
        <v>2</v>
      </c>
    </row>
    <row r="8" spans="1:11" ht="18" customHeight="1" x14ac:dyDescent="0.25">
      <c r="A8" s="33" t="str">
        <f>OVERALL!A8</f>
        <v>INTENT</v>
      </c>
      <c r="B8" s="3">
        <f>IF(C8=0,"-",COUNTIF(D8:I8,"y")/C8)</f>
        <v>0.33333333333333331</v>
      </c>
      <c r="C8" s="26">
        <f>$C$2-COUNTIF(D8:I8, "-")</f>
        <v>6</v>
      </c>
      <c r="D8" s="297" t="s">
        <v>121</v>
      </c>
      <c r="E8" s="301" t="s">
        <v>121</v>
      </c>
      <c r="F8" s="293" t="s">
        <v>122</v>
      </c>
      <c r="G8" s="311" t="s">
        <v>121</v>
      </c>
      <c r="H8" s="305" t="s">
        <v>121</v>
      </c>
      <c r="I8" s="295" t="s">
        <v>122</v>
      </c>
      <c r="K8" s="7" t="s">
        <v>16</v>
      </c>
    </row>
    <row r="9" spans="1:11" ht="18" customHeight="1" x14ac:dyDescent="0.2">
      <c r="A9" s="33" t="str">
        <f>OVERALL!A9</f>
        <v>NAME</v>
      </c>
      <c r="B9" s="3">
        <f>IF(C9=0,"-",COUNTIF(D9:I9,"y")/C9)</f>
        <v>0.16666666666666666</v>
      </c>
      <c r="C9" s="26">
        <f>$C$2-COUNTIF(D9:I9, "-")</f>
        <v>6</v>
      </c>
      <c r="D9" s="297" t="s">
        <v>121</v>
      </c>
      <c r="E9" s="301" t="s">
        <v>121</v>
      </c>
      <c r="F9" s="293" t="s">
        <v>121</v>
      </c>
      <c r="G9" s="311" t="s">
        <v>121</v>
      </c>
      <c r="H9" s="305" t="s">
        <v>121</v>
      </c>
      <c r="I9" s="295" t="s">
        <v>122</v>
      </c>
      <c r="K9" t="s">
        <v>1</v>
      </c>
    </row>
    <row r="10" spans="1:11" ht="18" customHeight="1" x14ac:dyDescent="0.2">
      <c r="A10" s="33" t="str">
        <f>OVERALL!A10</f>
        <v>BRIDGE</v>
      </c>
      <c r="B10" s="3">
        <f>IF(C10=0,"-",COUNTIF(D10:I10,"y")/C10)</f>
        <v>0</v>
      </c>
      <c r="C10" s="26">
        <f>$C$2-COUNTIF(D10:I10, "-")</f>
        <v>6</v>
      </c>
      <c r="D10" s="297" t="s">
        <v>121</v>
      </c>
      <c r="E10" s="301" t="s">
        <v>121</v>
      </c>
      <c r="F10" s="293" t="s">
        <v>121</v>
      </c>
      <c r="G10" s="311" t="s">
        <v>121</v>
      </c>
      <c r="H10" s="305" t="s">
        <v>121</v>
      </c>
      <c r="I10" s="295"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297" t="s">
        <v>121</v>
      </c>
      <c r="E13" s="301" t="s">
        <v>121</v>
      </c>
      <c r="F13" s="293" t="s">
        <v>121</v>
      </c>
      <c r="G13" s="311" t="s">
        <v>121</v>
      </c>
      <c r="H13" s="305" t="s">
        <v>121</v>
      </c>
      <c r="I13" s="295" t="s">
        <v>121</v>
      </c>
      <c r="K13" s="14" t="s">
        <v>4</v>
      </c>
    </row>
    <row r="14" spans="1:11" ht="18" customHeight="1" x14ac:dyDescent="0.25">
      <c r="A14" s="33" t="str">
        <f>OVERALL!A14</f>
        <v>LISTEN</v>
      </c>
      <c r="B14" s="3">
        <f>IF(C14=0,"-",COUNTIF(D14:I14,"y")/C14)</f>
        <v>1</v>
      </c>
      <c r="C14" s="26">
        <f>$C$2-COUNTIF(D14:I14, "-")</f>
        <v>6</v>
      </c>
      <c r="D14" s="297" t="s">
        <v>122</v>
      </c>
      <c r="E14" s="301" t="s">
        <v>122</v>
      </c>
      <c r="F14" s="293" t="s">
        <v>122</v>
      </c>
      <c r="G14" s="311" t="s">
        <v>122</v>
      </c>
      <c r="H14" s="305" t="s">
        <v>122</v>
      </c>
      <c r="I14" s="295" t="s">
        <v>122</v>
      </c>
      <c r="K14" s="9" t="s">
        <v>14</v>
      </c>
    </row>
    <row r="15" spans="1:11" ht="18" customHeight="1" x14ac:dyDescent="0.2">
      <c r="A15" s="33" t="str">
        <f>OVERALL!A15</f>
        <v>CONFIRM</v>
      </c>
      <c r="B15" s="3">
        <f>IF(C15=0,"-",COUNTIF(D15:I15,"y")/C15)</f>
        <v>0</v>
      </c>
      <c r="C15" s="26">
        <f>$C$2-COUNTIF(D15:I15, "-")</f>
        <v>6</v>
      </c>
      <c r="D15" s="297" t="s">
        <v>121</v>
      </c>
      <c r="E15" s="301" t="s">
        <v>121</v>
      </c>
      <c r="F15" s="293" t="s">
        <v>121</v>
      </c>
      <c r="G15" s="311" t="s">
        <v>121</v>
      </c>
      <c r="H15" s="305" t="s">
        <v>121</v>
      </c>
      <c r="I15" s="295"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0.66666666666666663</v>
      </c>
      <c r="C17" s="1" t="s">
        <v>1</v>
      </c>
      <c r="D17" s="29">
        <f>IF(D22=0,"-",(COUNTIF(D18:D21, "y")/D22)*OVERALL!$C$17)</f>
        <v>0.1875</v>
      </c>
      <c r="E17" s="29">
        <f>IF(E22=0,"-",(COUNTIF(E18:E21, "y")/E22)*OVERALL!$C$17)</f>
        <v>0.1875</v>
      </c>
      <c r="F17" s="29">
        <f>IF(F22=0,"-",(COUNTIF(F18:F21, "y")/F22)*OVERALL!$C$17)</f>
        <v>0.125</v>
      </c>
      <c r="G17" s="29">
        <f>IF(G22=0,"-",(COUNTIF(G18:G21, "y")/G22)*OVERALL!$C$17)</f>
        <v>0.125</v>
      </c>
      <c r="H17" s="29">
        <f>IF(H22=0,"-",(COUNTIF(H18:H21, "y")/H22)*OVERALL!$C$17)</f>
        <v>0.125</v>
      </c>
      <c r="I17" s="29">
        <f>IF(I22=0,"-",(COUNTIF(I18:I21, "y")/I22)*OVERALL!$C$17)</f>
        <v>0.25</v>
      </c>
      <c r="K17" s="9" t="s">
        <v>6</v>
      </c>
    </row>
    <row r="18" spans="1:14" ht="18" customHeight="1" x14ac:dyDescent="0.2">
      <c r="A18" s="33" t="str">
        <f>OVERALL!A18</f>
        <v>INFORM</v>
      </c>
      <c r="B18" s="3">
        <f>IF(C18=0,"-",COUNTIF(D18:I18,"y")/C18)</f>
        <v>0.5</v>
      </c>
      <c r="C18" s="26">
        <f>$C$2-COUNTIF(D18:I18, "-")</f>
        <v>6</v>
      </c>
      <c r="D18" s="297" t="s">
        <v>122</v>
      </c>
      <c r="E18" s="301" t="s">
        <v>122</v>
      </c>
      <c r="F18" s="293" t="s">
        <v>121</v>
      </c>
      <c r="G18" s="311" t="s">
        <v>121</v>
      </c>
      <c r="H18" s="305" t="s">
        <v>121</v>
      </c>
      <c r="I18" s="295" t="s">
        <v>122</v>
      </c>
    </row>
    <row r="19" spans="1:14" ht="18" customHeight="1" x14ac:dyDescent="0.2">
      <c r="A19" s="33" t="str">
        <f>OVERALL!A19</f>
        <v>CHECK</v>
      </c>
      <c r="B19" s="3">
        <f>IF(C19=0,"-",COUNTIF(D19:I19,"y")/C19)</f>
        <v>0.16666666666666666</v>
      </c>
      <c r="C19" s="26">
        <f>$C$2-COUNTIF(D19:I19, "-")</f>
        <v>6</v>
      </c>
      <c r="D19" s="297" t="s">
        <v>121</v>
      </c>
      <c r="E19" s="301" t="s">
        <v>121</v>
      </c>
      <c r="F19" s="293" t="s">
        <v>121</v>
      </c>
      <c r="G19" s="311" t="s">
        <v>121</v>
      </c>
      <c r="H19" s="305" t="s">
        <v>121</v>
      </c>
      <c r="I19" s="295" t="s">
        <v>122</v>
      </c>
    </row>
    <row r="20" spans="1:14" ht="18" customHeight="1" x14ac:dyDescent="0.2">
      <c r="A20" s="33" t="str">
        <f>OVERALL!A20</f>
        <v>SEEK</v>
      </c>
      <c r="B20" s="3">
        <f>IF(C20=0,"-",COUNTIF(D20:I20,"y")/C20)</f>
        <v>1</v>
      </c>
      <c r="C20" s="26">
        <f>$C$2-COUNTIF(D20:I20, "-")</f>
        <v>6</v>
      </c>
      <c r="D20" s="297" t="s">
        <v>122</v>
      </c>
      <c r="E20" s="301" t="s">
        <v>122</v>
      </c>
      <c r="F20" s="293" t="s">
        <v>122</v>
      </c>
      <c r="G20" s="311" t="s">
        <v>122</v>
      </c>
      <c r="H20" s="305" t="s">
        <v>122</v>
      </c>
      <c r="I20" s="295" t="s">
        <v>122</v>
      </c>
      <c r="K20" t="s">
        <v>1</v>
      </c>
    </row>
    <row r="21" spans="1:14" ht="18" customHeight="1" x14ac:dyDescent="0.2">
      <c r="A21" s="33" t="str">
        <f>OVERALL!A21</f>
        <v>CONFIDENCE</v>
      </c>
      <c r="B21" s="3">
        <f>IF(C21=0,"-",COUNTIF(D21:I21,"y")/C21)</f>
        <v>1</v>
      </c>
      <c r="C21" s="26">
        <f>$C$2-COUNTIF(D21:I21, "-")</f>
        <v>6</v>
      </c>
      <c r="D21" s="297" t="s">
        <v>122</v>
      </c>
      <c r="E21" s="301" t="s">
        <v>122</v>
      </c>
      <c r="F21" s="293" t="s">
        <v>122</v>
      </c>
      <c r="G21" s="311" t="s">
        <v>122</v>
      </c>
      <c r="H21" s="305" t="s">
        <v>122</v>
      </c>
      <c r="I21" s="295"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0.33333333333333331</v>
      </c>
      <c r="C23" s="1" t="s">
        <v>1</v>
      </c>
      <c r="D23" s="29">
        <f>IF(D27=0,"-",(COUNTIF(D24:D26, "y")/D27)*OVERALL!$C$23)</f>
        <v>0.15</v>
      </c>
      <c r="E23" s="29">
        <f>IF(E27=0,"-",(COUNTIF(E24:E26, "y")/E27)*OVERALL!$C$23)</f>
        <v>0</v>
      </c>
      <c r="F23" s="29">
        <f>IF(F27=0,"-",(COUNTIF(F24:F26, "y")/F27)*OVERALL!$C$23)</f>
        <v>9.9999999999999992E-2</v>
      </c>
      <c r="G23" s="29">
        <f>IF(G27=0,"-",(COUNTIF(G24:G26, "y")/G27)*OVERALL!$C$23)</f>
        <v>0</v>
      </c>
      <c r="H23" s="29">
        <f>IF(H27=0,"-",(COUNTIF(H24:H26, "y")/H27)*OVERALL!$C$23)</f>
        <v>0</v>
      </c>
      <c r="I23" s="29">
        <f>IF(I27=0,"-",(COUNTIF(I24:I26, "y")/I27)*OVERALL!$C$23)</f>
        <v>4.9999999999999996E-2</v>
      </c>
    </row>
    <row r="24" spans="1:14" ht="18" customHeight="1" x14ac:dyDescent="0.2">
      <c r="A24" s="33" t="str">
        <f>OVERALL!A24</f>
        <v>QUESTIONS</v>
      </c>
      <c r="B24" s="3">
        <f>IF(C24=0,"-",COUNTIF(D24:I24,"y")/C24)</f>
        <v>0.33333333333333331</v>
      </c>
      <c r="C24" s="26">
        <f>$C$2-COUNTIF(D24:I24, "-")</f>
        <v>6</v>
      </c>
      <c r="D24" s="297" t="s">
        <v>122</v>
      </c>
      <c r="E24" s="301" t="s">
        <v>121</v>
      </c>
      <c r="F24" s="293" t="s">
        <v>122</v>
      </c>
      <c r="G24" s="311" t="s">
        <v>121</v>
      </c>
      <c r="H24" s="305" t="s">
        <v>121</v>
      </c>
      <c r="I24" s="295" t="s">
        <v>121</v>
      </c>
    </row>
    <row r="25" spans="1:14" ht="18" customHeight="1" x14ac:dyDescent="0.2">
      <c r="A25" s="33" t="str">
        <f>OVERALL!A25</f>
        <v>GRATITUDE</v>
      </c>
      <c r="B25" s="3">
        <f>IF(C25=0,"-",COUNTIF(D25:I25,"y")/C25)</f>
        <v>0.16666666666666666</v>
      </c>
      <c r="C25" s="26">
        <f>$C$2-COUNTIF(D25:I25, "-")</f>
        <v>6</v>
      </c>
      <c r="D25" s="297" t="s">
        <v>122</v>
      </c>
      <c r="E25" s="301" t="s">
        <v>121</v>
      </c>
      <c r="F25" s="293" t="s">
        <v>121</v>
      </c>
      <c r="G25" s="311" t="s">
        <v>121</v>
      </c>
      <c r="H25" s="305" t="s">
        <v>121</v>
      </c>
      <c r="I25" s="295" t="s">
        <v>121</v>
      </c>
    </row>
    <row r="26" spans="1:14" ht="18" customHeight="1" x14ac:dyDescent="0.2">
      <c r="A26" s="33" t="str">
        <f>OVERALL!A26</f>
        <v>THANKS</v>
      </c>
      <c r="B26" s="3">
        <f>IF(C26=0,"-",COUNTIF(D26:I26,"y")/C26)</f>
        <v>0.5</v>
      </c>
      <c r="C26" s="26">
        <f>$C$2-COUNTIF(D26:I26, "-")</f>
        <v>6</v>
      </c>
      <c r="D26" s="297" t="s">
        <v>122</v>
      </c>
      <c r="E26" s="301" t="s">
        <v>121</v>
      </c>
      <c r="F26" s="293" t="s">
        <v>122</v>
      </c>
      <c r="G26" s="311" t="s">
        <v>121</v>
      </c>
      <c r="H26" s="305" t="s">
        <v>121</v>
      </c>
      <c r="I26" s="295"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0.29166666666666663</v>
      </c>
      <c r="C28" s="1" t="s">
        <v>1</v>
      </c>
      <c r="D28" s="29">
        <f>IF(D33=0,"-",(COUNTIF(D29:D32, "y")/D33)*OVERALL!$C$28)</f>
        <v>0.1</v>
      </c>
      <c r="E28" s="29">
        <f>IF(E33=0,"-",(COUNTIF(E29:E32, "y")/E33)*OVERALL!$C$28)</f>
        <v>0.1</v>
      </c>
      <c r="F28" s="29">
        <f>IF(F33=0,"-",(COUNTIF(F29:F32, "y")/F33)*OVERALL!$C$28)</f>
        <v>0.05</v>
      </c>
      <c r="G28" s="29">
        <f>IF(G33=0,"-",(COUNTIF(G29:G32, "y")/G33)*OVERALL!$C$28)</f>
        <v>0.1</v>
      </c>
      <c r="H28" s="29">
        <f>IF(H33=0,"-",(COUNTIF(H29:H32, "y")/H33)*OVERALL!$C$28)</f>
        <v>0</v>
      </c>
      <c r="I28" s="29">
        <f>IF(I33=0,"-",(COUNTIF(I29:I32, "y")/I33)*OVERALL!$C$28)</f>
        <v>0</v>
      </c>
    </row>
    <row r="29" spans="1:14" ht="18" customHeight="1" x14ac:dyDescent="0.2">
      <c r="A29" s="33" t="str">
        <f>OVERALL!A29</f>
        <v>VIBRANCY</v>
      </c>
      <c r="B29" s="3">
        <f>IF(C29=0,"-",COUNTIF(D29:I29,"y")/C29)</f>
        <v>0.66666666666666663</v>
      </c>
      <c r="C29" s="26">
        <f>$C$2-COUNTIF(D29:I29, "-")</f>
        <v>6</v>
      </c>
      <c r="D29" s="297" t="s">
        <v>122</v>
      </c>
      <c r="E29" s="301" t="s">
        <v>122</v>
      </c>
      <c r="F29" s="293" t="s">
        <v>122</v>
      </c>
      <c r="G29" s="311" t="s">
        <v>122</v>
      </c>
      <c r="H29" s="305" t="s">
        <v>121</v>
      </c>
      <c r="I29" s="295" t="s">
        <v>121</v>
      </c>
    </row>
    <row r="30" spans="1:14" ht="18" customHeight="1" x14ac:dyDescent="0.2">
      <c r="A30" s="33" t="str">
        <f>OVERALL!A30</f>
        <v>EMPATHY</v>
      </c>
      <c r="B30" s="3">
        <f>IF(C30=0,"-",COUNTIF(D30:I30,"y")/C30)</f>
        <v>0</v>
      </c>
      <c r="C30" s="26">
        <f>$C$2-COUNTIF(D30:I30, "-")</f>
        <v>6</v>
      </c>
      <c r="D30" s="297" t="s">
        <v>121</v>
      </c>
      <c r="E30" s="301" t="s">
        <v>121</v>
      </c>
      <c r="F30" s="293" t="s">
        <v>121</v>
      </c>
      <c r="G30" s="311" t="s">
        <v>121</v>
      </c>
      <c r="H30" s="305" t="s">
        <v>121</v>
      </c>
      <c r="I30" s="295" t="s">
        <v>121</v>
      </c>
    </row>
    <row r="31" spans="1:14" ht="18" customHeight="1" x14ac:dyDescent="0.2">
      <c r="A31" s="33" t="str">
        <f>OVERALL!A31</f>
        <v>CONTROL</v>
      </c>
      <c r="B31" s="3">
        <f>IF(C31=0,"-",COUNTIF(D31:I31,"y")/C31)</f>
        <v>0</v>
      </c>
      <c r="C31" s="26">
        <f>$C$2-COUNTIF(D31:I31, "-")</f>
        <v>6</v>
      </c>
      <c r="D31" s="297" t="s">
        <v>121</v>
      </c>
      <c r="E31" s="301" t="s">
        <v>121</v>
      </c>
      <c r="F31" s="293" t="s">
        <v>121</v>
      </c>
      <c r="G31" s="311" t="s">
        <v>121</v>
      </c>
      <c r="H31" s="305" t="s">
        <v>121</v>
      </c>
      <c r="I31" s="295" t="s">
        <v>121</v>
      </c>
    </row>
    <row r="32" spans="1:14" ht="18" customHeight="1" x14ac:dyDescent="0.2">
      <c r="A32" s="33" t="str">
        <f>OVERALL!A32</f>
        <v>CLARITY</v>
      </c>
      <c r="B32" s="3">
        <f>IF(C32=0,"-",COUNTIF(D32:I32,"y")/C32)</f>
        <v>0.5</v>
      </c>
      <c r="C32" s="26">
        <f>$C$2-COUNTIF(D32:I32, "-")</f>
        <v>6</v>
      </c>
      <c r="D32" s="297" t="s">
        <v>122</v>
      </c>
      <c r="E32" s="301" t="s">
        <v>122</v>
      </c>
      <c r="F32" s="293" t="s">
        <v>121</v>
      </c>
      <c r="G32" s="311" t="s">
        <v>122</v>
      </c>
      <c r="H32" s="305" t="s">
        <v>121</v>
      </c>
      <c r="I32" s="295" t="s">
        <v>121</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7" t="s">
        <v>121</v>
      </c>
      <c r="E35" s="301" t="s">
        <v>121</v>
      </c>
      <c r="F35" s="293" t="s">
        <v>121</v>
      </c>
      <c r="G35" s="311" t="s">
        <v>121</v>
      </c>
      <c r="H35" s="305" t="s">
        <v>121</v>
      </c>
      <c r="I35" s="295" t="s">
        <v>121</v>
      </c>
      <c r="K35" s="48">
        <v>-0.3</v>
      </c>
      <c r="M35" s="48"/>
      <c r="N35" s="48"/>
      <c r="O35" s="48"/>
    </row>
    <row r="36" spans="1:16" ht="18" customHeight="1" x14ac:dyDescent="0.2">
      <c r="A36" s="45" t="str">
        <f>OVERALL!A36</f>
        <v>AUDIO ISSUE (DISTRACTION)</v>
      </c>
      <c r="B36" s="3">
        <f>IF(C36=0,"-",COUNTIF(D36:I36,"y")/C36)</f>
        <v>0</v>
      </c>
      <c r="C36" s="26">
        <f>$C$2-COUNTIF(D36:I36, "-")</f>
        <v>6</v>
      </c>
      <c r="D36" s="297" t="s">
        <v>121</v>
      </c>
      <c r="E36" s="301" t="s">
        <v>121</v>
      </c>
      <c r="F36" s="293" t="s">
        <v>121</v>
      </c>
      <c r="G36" s="311" t="s">
        <v>121</v>
      </c>
      <c r="H36" s="305" t="s">
        <v>121</v>
      </c>
      <c r="I36" s="295"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3" t="str">
        <f>OVERALL!A38</f>
        <v>ADDITIONAL INSIGHT</v>
      </c>
      <c r="B38" s="354"/>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7" t="s">
        <v>122</v>
      </c>
      <c r="E39" s="301" t="s">
        <v>122</v>
      </c>
      <c r="F39" s="293" t="s">
        <v>122</v>
      </c>
      <c r="G39" s="311" t="s">
        <v>122</v>
      </c>
      <c r="H39" s="305" t="s">
        <v>122</v>
      </c>
      <c r="I39" s="295" t="s">
        <v>122</v>
      </c>
    </row>
    <row r="40" spans="1:16" ht="18" customHeight="1" x14ac:dyDescent="0.2">
      <c r="A40" s="33" t="str">
        <f>OVERALL!A40</f>
        <v>TALK TIME</v>
      </c>
      <c r="B40" s="283">
        <f>IF(C40=0,"-",AVERAGE(D40:I40))</f>
        <v>4.5331790123456792E-3</v>
      </c>
      <c r="C40" s="26">
        <f t="shared" si="10"/>
        <v>6</v>
      </c>
      <c r="D40" s="287">
        <v>2.2337962962962962E-3</v>
      </c>
      <c r="E40" s="290">
        <v>3.9814814814814817E-3</v>
      </c>
      <c r="F40" s="287">
        <v>7.905092592592592E-3</v>
      </c>
      <c r="G40" s="287">
        <v>4.9074074074074072E-3</v>
      </c>
      <c r="H40" s="287">
        <v>3.6226851851851854E-3</v>
      </c>
      <c r="I40" s="287">
        <v>4.5486111111111109E-3</v>
      </c>
      <c r="J40" s="46"/>
      <c r="K40" s="267"/>
      <c r="L40" s="267"/>
      <c r="M40" s="267"/>
      <c r="N40" s="267"/>
      <c r="O40" s="267"/>
      <c r="P40" s="267"/>
    </row>
    <row r="41" spans="1:16" ht="18" customHeight="1" x14ac:dyDescent="0.2">
      <c r="A41" s="33" t="str">
        <f>OVERALL!A41</f>
        <v>ASSESSOR RATING (0-10)</v>
      </c>
      <c r="B41" s="288">
        <f>IF(C41=0,"-",SUM(D41:I41)/C41)</f>
        <v>3.8333333333333335</v>
      </c>
      <c r="C41" s="26">
        <f t="shared" si="10"/>
        <v>6</v>
      </c>
      <c r="D41" s="291">
        <v>5</v>
      </c>
      <c r="E41" s="291">
        <v>4</v>
      </c>
      <c r="F41" s="291">
        <v>4</v>
      </c>
      <c r="G41" s="291">
        <v>3</v>
      </c>
      <c r="H41" s="291">
        <v>3</v>
      </c>
      <c r="I41" s="291">
        <v>4</v>
      </c>
      <c r="J41" s="288"/>
      <c r="K41" s="289"/>
      <c r="L41" s="289"/>
      <c r="M41" s="289"/>
      <c r="N41" s="289"/>
      <c r="O41" s="289"/>
      <c r="P41" s="289"/>
    </row>
    <row r="42" spans="1:16" ht="18" customHeight="1" x14ac:dyDescent="0.2">
      <c r="A42" s="33" t="str">
        <f>OVERALL!A42</f>
        <v>EXPLAINED KEY FEATURES</v>
      </c>
      <c r="B42" s="3">
        <f>IF(C42=0,"-",COUNTIF(D42:I42, "y")/C42)</f>
        <v>0.16666666666666666</v>
      </c>
      <c r="C42" s="26">
        <f t="shared" si="10"/>
        <v>6</v>
      </c>
      <c r="D42" s="297" t="s">
        <v>121</v>
      </c>
      <c r="E42" s="301" t="s">
        <v>122</v>
      </c>
      <c r="F42" s="293" t="s">
        <v>121</v>
      </c>
      <c r="G42" s="311" t="s">
        <v>121</v>
      </c>
      <c r="H42" s="305" t="s">
        <v>121</v>
      </c>
      <c r="I42" s="295" t="s">
        <v>121</v>
      </c>
      <c r="J42" s="47"/>
      <c r="K42" t="s">
        <v>1</v>
      </c>
    </row>
    <row r="43" spans="1:16" ht="18" customHeight="1" x14ac:dyDescent="0.2">
      <c r="A43" s="33" t="str">
        <f>OVERALL!A43</f>
        <v>REVEALED PRICING</v>
      </c>
      <c r="B43" s="3">
        <f>IF(C43=0,"-",COUNTIF(D43:I43, "y")/C43)</f>
        <v>0.83333333333333337</v>
      </c>
      <c r="C43" s="26">
        <f t="shared" si="10"/>
        <v>6</v>
      </c>
      <c r="D43" s="297" t="s">
        <v>122</v>
      </c>
      <c r="E43" s="301" t="s">
        <v>122</v>
      </c>
      <c r="F43" s="293" t="s">
        <v>122</v>
      </c>
      <c r="G43" s="311" t="s">
        <v>122</v>
      </c>
      <c r="H43" s="305" t="s">
        <v>121</v>
      </c>
      <c r="I43" s="295" t="s">
        <v>122</v>
      </c>
    </row>
    <row r="44" spans="1:16" ht="18" customHeight="1" x14ac:dyDescent="0.2">
      <c r="A44" s="33" t="str">
        <f>OVERALL!A44</f>
        <v>EXPLAINED ACTIONS &amp; PROCESS</v>
      </c>
      <c r="B44" s="3">
        <f>IF(C44=0,"-",COUNTIF(D44:I44, "y")/C44)</f>
        <v>0.33333333333333331</v>
      </c>
      <c r="C44" s="26">
        <f t="shared" si="10"/>
        <v>6</v>
      </c>
      <c r="D44" s="297" t="s">
        <v>122</v>
      </c>
      <c r="E44" s="301" t="s">
        <v>121</v>
      </c>
      <c r="F44" s="293" t="s">
        <v>121</v>
      </c>
      <c r="G44" s="311" t="s">
        <v>121</v>
      </c>
      <c r="H44" s="305" t="s">
        <v>122</v>
      </c>
      <c r="I44" s="295" t="s">
        <v>121</v>
      </c>
    </row>
    <row r="45" spans="1:16" ht="18" customHeight="1" x14ac:dyDescent="0.2">
      <c r="A45" s="33" t="str">
        <f>OVERALL!A45</f>
        <v>WEBSITE EDUCATION</v>
      </c>
      <c r="B45" s="3">
        <f>IF(C45=0,"-",COUNTIF(D45:I45, "y")/C45)</f>
        <v>0</v>
      </c>
      <c r="C45" s="26">
        <f t="shared" si="10"/>
        <v>6</v>
      </c>
      <c r="D45" s="297" t="s">
        <v>121</v>
      </c>
      <c r="E45" s="301" t="s">
        <v>121</v>
      </c>
      <c r="F45" s="293" t="s">
        <v>121</v>
      </c>
      <c r="G45" s="311" t="s">
        <v>121</v>
      </c>
      <c r="H45" s="305" t="s">
        <v>121</v>
      </c>
      <c r="I45" s="295" t="s">
        <v>121</v>
      </c>
    </row>
    <row r="46" spans="1:16" ht="18" customHeight="1" x14ac:dyDescent="0.2">
      <c r="A46" s="18"/>
      <c r="B46" s="3"/>
      <c r="C46" s="26"/>
      <c r="D46" s="265"/>
      <c r="E46" s="265"/>
      <c r="F46" s="265"/>
      <c r="G46" s="265"/>
      <c r="H46" s="265"/>
      <c r="I46" s="265"/>
    </row>
    <row r="47" spans="1:16" ht="270" x14ac:dyDescent="0.2">
      <c r="A47" s="25" t="s">
        <v>1</v>
      </c>
      <c r="B47" s="355" t="s">
        <v>36</v>
      </c>
      <c r="C47" s="356"/>
      <c r="D47" s="23" t="s">
        <v>149</v>
      </c>
      <c r="E47" s="23" t="s">
        <v>158</v>
      </c>
      <c r="F47" s="23" t="s">
        <v>124</v>
      </c>
      <c r="G47" s="23" t="s">
        <v>185</v>
      </c>
      <c r="H47" s="23" t="s">
        <v>168</v>
      </c>
      <c r="I47" s="23" t="s">
        <v>136</v>
      </c>
    </row>
    <row r="48" spans="1:16" ht="18" customHeight="1" x14ac:dyDescent="0.2">
      <c r="A48" s="60" t="s">
        <v>48</v>
      </c>
      <c r="D48" s="51">
        <f t="shared" ref="D48:I48" si="11">IF(D$2="","",IF(D$39="n", "", SUM(D$6,D$12,D$17,D$23,D$28,D$34)))</f>
        <v>0.5541666666666667</v>
      </c>
      <c r="E48" s="51">
        <f t="shared" si="11"/>
        <v>0.40416666666666667</v>
      </c>
      <c r="F48" s="51">
        <f t="shared" si="11"/>
        <v>0.39166666666666666</v>
      </c>
      <c r="G48" s="51">
        <f t="shared" si="11"/>
        <v>0.34166666666666667</v>
      </c>
      <c r="H48" s="51">
        <f t="shared" si="11"/>
        <v>0.24166666666666667</v>
      </c>
      <c r="I48" s="51">
        <f t="shared" si="11"/>
        <v>0.51666666666666672</v>
      </c>
    </row>
    <row r="50" spans="1:9" ht="19" x14ac:dyDescent="0.25">
      <c r="A50" s="111" t="s">
        <v>75</v>
      </c>
      <c r="B50" s="91" t="s">
        <v>76</v>
      </c>
    </row>
    <row r="51" spans="1:9" x14ac:dyDescent="0.2">
      <c r="A51" s="112" t="s">
        <v>64</v>
      </c>
      <c r="B51" s="113">
        <v>0.3</v>
      </c>
      <c r="C51" s="112"/>
      <c r="D51" s="257">
        <f>[1]AGL!D$4</f>
        <v>0.43083333333333329</v>
      </c>
      <c r="E51" s="257">
        <f>[1]AGL!E$4</f>
        <v>0.43083333333333329</v>
      </c>
      <c r="F51" s="257">
        <f>[1]AGL!F$4</f>
        <v>0.57250000000000001</v>
      </c>
      <c r="G51" s="257">
        <f>[1]AGL!G$4</f>
        <v>0.41000000000000003</v>
      </c>
      <c r="H51" s="257">
        <f>[1]AGL!H$4</f>
        <v>0.41000000000000003</v>
      </c>
      <c r="I51" s="257">
        <f>[1]AGL!I$4</f>
        <v>0.41000000000000003</v>
      </c>
    </row>
    <row r="52" spans="1:9" x14ac:dyDescent="0.2">
      <c r="A52" s="112" t="s">
        <v>65</v>
      </c>
      <c r="B52" s="113">
        <v>0.7</v>
      </c>
      <c r="C52" s="112"/>
      <c r="D52" s="258">
        <f t="shared" ref="D52:I52" si="12">D4</f>
        <v>0.5541666666666667</v>
      </c>
      <c r="E52" s="258">
        <f t="shared" si="12"/>
        <v>0.40416666666666667</v>
      </c>
      <c r="F52" s="258">
        <f t="shared" si="12"/>
        <v>0.39166666666666666</v>
      </c>
      <c r="G52" s="258">
        <f t="shared" si="12"/>
        <v>0.34166666666666667</v>
      </c>
      <c r="H52" s="258">
        <f t="shared" si="12"/>
        <v>0.24166666666666667</v>
      </c>
      <c r="I52" s="258">
        <f t="shared" si="12"/>
        <v>0.51666666666666672</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0.12924999999999998</v>
      </c>
      <c r="E55" s="258">
        <f t="shared" ref="E55:I55" si="13">IF(E51="-","-",E51*$B$51)</f>
        <v>0.12924999999999998</v>
      </c>
      <c r="F55" s="258">
        <f t="shared" si="13"/>
        <v>0.17174999999999999</v>
      </c>
      <c r="G55" s="258">
        <f t="shared" si="13"/>
        <v>0.123</v>
      </c>
      <c r="H55" s="258">
        <f t="shared" si="13"/>
        <v>0.123</v>
      </c>
      <c r="I55" s="258">
        <f t="shared" si="13"/>
        <v>0.123</v>
      </c>
    </row>
    <row r="56" spans="1:9" x14ac:dyDescent="0.2">
      <c r="A56" s="112" t="s">
        <v>65</v>
      </c>
      <c r="B56" s="112"/>
      <c r="C56" s="112"/>
      <c r="D56" s="258">
        <f t="shared" ref="D56:I56" si="14">IF(D52="-","-",D52*$B$52)</f>
        <v>0.38791666666666669</v>
      </c>
      <c r="E56" s="258">
        <f t="shared" si="14"/>
        <v>0.28291666666666665</v>
      </c>
      <c r="F56" s="258">
        <f t="shared" si="14"/>
        <v>0.27416666666666667</v>
      </c>
      <c r="G56" s="258">
        <f t="shared" si="14"/>
        <v>0.23916666666666667</v>
      </c>
      <c r="H56" s="258">
        <f t="shared" si="14"/>
        <v>0.16916666666666666</v>
      </c>
      <c r="I56" s="258">
        <f t="shared" si="14"/>
        <v>0.36166666666666669</v>
      </c>
    </row>
    <row r="57" spans="1:9" x14ac:dyDescent="0.2">
      <c r="A57" s="115" t="s">
        <v>60</v>
      </c>
      <c r="B57" s="115"/>
      <c r="C57" s="115"/>
      <c r="D57" s="116">
        <f t="shared" ref="D57:I57" si="15">IF(D51="","",IF(D52="","",SUM(D55:D56)))</f>
        <v>0.51716666666666666</v>
      </c>
      <c r="E57" s="116">
        <f t="shared" si="15"/>
        <v>0.41216666666666663</v>
      </c>
      <c r="F57" s="116">
        <f t="shared" si="15"/>
        <v>0.44591666666666663</v>
      </c>
      <c r="G57" s="116">
        <f t="shared" si="15"/>
        <v>0.36216666666666664</v>
      </c>
      <c r="H57" s="116">
        <f t="shared" si="15"/>
        <v>0.29216666666666669</v>
      </c>
      <c r="I57" s="116">
        <f t="shared" si="15"/>
        <v>0.48466666666666669</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6" zoomScaleNormal="86" workbookViewId="0">
      <pane xSplit="3" ySplit="6" topLeftCell="D47" activePane="bottomRight" state="frozen"/>
      <selection activeCell="G47" sqref="G47"/>
      <selection pane="topRight" activeCell="G47" sqref="G47"/>
      <selection pane="bottomLeft" activeCell="G47" sqref="G47"/>
      <selection pane="bottomRight" activeCell="D51" sqref="D5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10" t="s">
        <v>123</v>
      </c>
      <c r="E2" s="303" t="s">
        <v>161</v>
      </c>
      <c r="F2" s="294" t="s">
        <v>123</v>
      </c>
      <c r="G2" s="312" t="s">
        <v>186</v>
      </c>
      <c r="H2" s="310" t="s">
        <v>181</v>
      </c>
      <c r="I2" s="296" t="s">
        <v>137</v>
      </c>
    </row>
    <row r="3" spans="1:11" ht="19" x14ac:dyDescent="0.2">
      <c r="A3" s="32" t="str">
        <f>OVERALL!E1</f>
        <v>ALINTA</v>
      </c>
      <c r="B3" s="249">
        <f>OVERALL!E3</f>
        <v>0.57202083333333342</v>
      </c>
      <c r="C3" s="109" t="s">
        <v>74</v>
      </c>
      <c r="D3" s="110">
        <f>IF(D2="-","-",D57)</f>
        <v>0.62441666666666673</v>
      </c>
      <c r="E3" s="110">
        <f t="shared" ref="E3:I3" si="0">IF(E2="-","-",E57)</f>
        <v>0.60691666666666655</v>
      </c>
      <c r="F3" s="110">
        <f t="shared" si="0"/>
        <v>0.55504166666666666</v>
      </c>
      <c r="G3" s="110">
        <f t="shared" si="0"/>
        <v>0.51816666666666666</v>
      </c>
      <c r="H3" s="110">
        <f t="shared" si="0"/>
        <v>0.62504166666666672</v>
      </c>
      <c r="I3" s="110">
        <f t="shared" si="0"/>
        <v>0.50254166666666666</v>
      </c>
    </row>
    <row r="4" spans="1:11" ht="18" customHeight="1" x14ac:dyDescent="0.2">
      <c r="A4" s="17" t="str">
        <f>OVERALL!A4</f>
        <v>QUALITY SCORE</v>
      </c>
      <c r="B4" s="38">
        <f>IF(C2=0, "-", IF(COUNTIF(D39:I39, "n")=C2, "-", IF(COUNT(D4:I4)=0, "-", AVERAGE(D4:I4))))</f>
        <v>0.55833333333333346</v>
      </c>
      <c r="C4" s="59" t="s">
        <v>1</v>
      </c>
      <c r="D4" s="38">
        <f>IF(D48&lt;0%,0%,IF(D$2="-","-",IF(D$39="n", "-", SUM(D$6,D$12,D$17,D$23,D$28,D$34))))</f>
        <v>0.61666666666666681</v>
      </c>
      <c r="E4" s="38">
        <f t="shared" ref="E4:I4" si="1">IF(E48&lt;0%,0%,IF(E$2="-","-",IF(E$39="n", "-", SUM(E$6,E$12,E$17,E$23,E$28,E$34))))</f>
        <v>0.59166666666666667</v>
      </c>
      <c r="F4" s="38">
        <f t="shared" si="1"/>
        <v>0.50416666666666665</v>
      </c>
      <c r="G4" s="38">
        <f t="shared" si="1"/>
        <v>0.49166666666666664</v>
      </c>
      <c r="H4" s="38">
        <f t="shared" si="1"/>
        <v>0.60416666666666674</v>
      </c>
      <c r="I4" s="38">
        <f t="shared" si="1"/>
        <v>0.54166666666666674</v>
      </c>
      <c r="K4" s="12" t="s">
        <v>8</v>
      </c>
    </row>
    <row r="5" spans="1:11" ht="18" customHeight="1" x14ac:dyDescent="0.25">
      <c r="A5" s="58" t="s">
        <v>49</v>
      </c>
      <c r="B5" s="59">
        <f>IF(B6="-","-",AVERAGE(D5:I5))</f>
        <v>0.57500000000000007</v>
      </c>
      <c r="C5" s="59" t="s">
        <v>1</v>
      </c>
      <c r="D5" s="61">
        <f t="shared" ref="D5:I5" si="2">IF(D$2="","",IF(D$39="n", "", SUM(D$6,D$12,D$17,D$23,D$28)))</f>
        <v>0.71666666666666679</v>
      </c>
      <c r="E5" s="61">
        <f t="shared" si="2"/>
        <v>0.59166666666666667</v>
      </c>
      <c r="F5" s="61">
        <f t="shared" si="2"/>
        <v>0.50416666666666665</v>
      </c>
      <c r="G5" s="61">
        <f t="shared" si="2"/>
        <v>0.49166666666666664</v>
      </c>
      <c r="H5" s="61">
        <f t="shared" si="2"/>
        <v>0.60416666666666674</v>
      </c>
      <c r="I5" s="61">
        <f t="shared" si="2"/>
        <v>0.54166666666666674</v>
      </c>
      <c r="K5" s="7" t="s">
        <v>17</v>
      </c>
    </row>
    <row r="6" spans="1:11" ht="18" customHeight="1" x14ac:dyDescent="0.2">
      <c r="A6" s="20" t="str">
        <f>OVERALL!A6</f>
        <v>ENGAGE</v>
      </c>
      <c r="B6" s="21">
        <f>IF(C11=0,"-",AVERAGE(B7:B10))</f>
        <v>0.375</v>
      </c>
      <c r="C6" s="62" t="s">
        <v>0</v>
      </c>
      <c r="D6" s="28">
        <f>IF(D11=0,"-",(COUNTIF(D7:D10, "y")/D11)*OVERALL!$C$6)</f>
        <v>0.1</v>
      </c>
      <c r="E6" s="28">
        <f>IF(E11=0,"-",(COUNTIF(E7:E10, "y")/E11)*OVERALL!$C$6)</f>
        <v>0.1</v>
      </c>
      <c r="F6" s="28">
        <f>IF(F11=0,"-",(COUNTIF(F7:F10, "y")/F11)*OVERALL!$C$6)</f>
        <v>0</v>
      </c>
      <c r="G6" s="28">
        <f>IF(G11=0,"-",(COUNTIF(G7:G10, "y")/G11)*OVERALL!$C$6)</f>
        <v>0.1</v>
      </c>
      <c r="H6" s="28">
        <f>IF(H11=0,"-",(COUNTIF(H7:H10, "y")/H11)*OVERALL!$C$6)</f>
        <v>0.1</v>
      </c>
      <c r="I6" s="28">
        <f>IF(I11=0,"-",(COUNTIF(I7:I10, "y")/I11)*OVERALL!$C$6)</f>
        <v>0.05</v>
      </c>
    </row>
    <row r="7" spans="1:11" ht="18" customHeight="1" x14ac:dyDescent="0.2">
      <c r="A7" s="33" t="str">
        <f>OVERALL!A7</f>
        <v>WELCOME</v>
      </c>
      <c r="B7" s="3">
        <f>IF(C7=0,"-",COUNTIF(D7:I7,"y")/C7)</f>
        <v>0.83333333333333337</v>
      </c>
      <c r="C7" s="26">
        <f>$C$2-COUNTIF(D7:I7, "-")</f>
        <v>6</v>
      </c>
      <c r="D7" s="309" t="s">
        <v>122</v>
      </c>
      <c r="E7" s="304" t="s">
        <v>122</v>
      </c>
      <c r="F7" s="293" t="s">
        <v>121</v>
      </c>
      <c r="G7" s="311" t="s">
        <v>122</v>
      </c>
      <c r="H7" s="309" t="s">
        <v>122</v>
      </c>
      <c r="I7" s="295" t="s">
        <v>122</v>
      </c>
      <c r="K7" s="11" t="s">
        <v>2</v>
      </c>
    </row>
    <row r="8" spans="1:11" ht="18" customHeight="1" x14ac:dyDescent="0.25">
      <c r="A8" s="33" t="str">
        <f>OVERALL!A8</f>
        <v>INTENT</v>
      </c>
      <c r="B8" s="3">
        <f>IF(C8=0,"-",COUNTIF(D8:I8,"y")/C8)</f>
        <v>0.66666666666666663</v>
      </c>
      <c r="C8" s="26">
        <f>$C$2-COUNTIF(D8:I8, "-")</f>
        <v>6</v>
      </c>
      <c r="D8" s="309" t="s">
        <v>122</v>
      </c>
      <c r="E8" s="304" t="s">
        <v>122</v>
      </c>
      <c r="F8" s="293" t="s">
        <v>121</v>
      </c>
      <c r="G8" s="311" t="s">
        <v>122</v>
      </c>
      <c r="H8" s="309" t="s">
        <v>122</v>
      </c>
      <c r="I8" s="295" t="s">
        <v>121</v>
      </c>
      <c r="K8" s="7" t="s">
        <v>16</v>
      </c>
    </row>
    <row r="9" spans="1:11" ht="18" customHeight="1" x14ac:dyDescent="0.2">
      <c r="A9" s="33" t="str">
        <f>OVERALL!A9</f>
        <v>NAME</v>
      </c>
      <c r="B9" s="3">
        <f>IF(C9=0,"-",COUNTIF(D9:I9,"y")/C9)</f>
        <v>0</v>
      </c>
      <c r="C9" s="26">
        <f>$C$2-COUNTIF(D9:I9, "-")</f>
        <v>6</v>
      </c>
      <c r="D9" s="309" t="s">
        <v>121</v>
      </c>
      <c r="E9" s="304" t="s">
        <v>121</v>
      </c>
      <c r="F9" s="293" t="s">
        <v>121</v>
      </c>
      <c r="G9" s="311" t="s">
        <v>121</v>
      </c>
      <c r="H9" s="309" t="s">
        <v>121</v>
      </c>
      <c r="I9" s="295" t="s">
        <v>121</v>
      </c>
      <c r="K9" t="s">
        <v>1</v>
      </c>
    </row>
    <row r="10" spans="1:11" ht="18" customHeight="1" x14ac:dyDescent="0.2">
      <c r="A10" s="33" t="str">
        <f>OVERALL!A10</f>
        <v>BRIDGE</v>
      </c>
      <c r="B10" s="3">
        <f>IF(C10=0,"-",COUNTIF(D10:I10,"y")/C10)</f>
        <v>0</v>
      </c>
      <c r="C10" s="26">
        <f>$C$2-COUNTIF(D10:I10, "-")</f>
        <v>6</v>
      </c>
      <c r="D10" s="309" t="s">
        <v>121</v>
      </c>
      <c r="E10" s="304" t="s">
        <v>121</v>
      </c>
      <c r="F10" s="293" t="s">
        <v>121</v>
      </c>
      <c r="G10" s="311" t="s">
        <v>121</v>
      </c>
      <c r="H10" s="309" t="s">
        <v>121</v>
      </c>
      <c r="I10" s="295"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9" t="s">
        <v>121</v>
      </c>
      <c r="E13" s="304" t="s">
        <v>121</v>
      </c>
      <c r="F13" s="293" t="s">
        <v>121</v>
      </c>
      <c r="G13" s="311" t="s">
        <v>121</v>
      </c>
      <c r="H13" s="309" t="s">
        <v>121</v>
      </c>
      <c r="I13" s="295" t="s">
        <v>121</v>
      </c>
      <c r="K13" s="14" t="s">
        <v>4</v>
      </c>
    </row>
    <row r="14" spans="1:11" ht="18" customHeight="1" x14ac:dyDescent="0.25">
      <c r="A14" s="33" t="str">
        <f>OVERALL!A14</f>
        <v>LISTEN</v>
      </c>
      <c r="B14" s="3">
        <f>IF(C14=0,"-",COUNTIF(D14:I14,"y")/C14)</f>
        <v>1</v>
      </c>
      <c r="C14" s="26">
        <f>$C$2-COUNTIF(D14:I14, "-")</f>
        <v>6</v>
      </c>
      <c r="D14" s="309" t="s">
        <v>122</v>
      </c>
      <c r="E14" s="304" t="s">
        <v>122</v>
      </c>
      <c r="F14" s="293" t="s">
        <v>122</v>
      </c>
      <c r="G14" s="311" t="s">
        <v>122</v>
      </c>
      <c r="H14" s="309" t="s">
        <v>122</v>
      </c>
      <c r="I14" s="295" t="s">
        <v>122</v>
      </c>
      <c r="K14" s="9" t="s">
        <v>14</v>
      </c>
    </row>
    <row r="15" spans="1:11" ht="18" customHeight="1" x14ac:dyDescent="0.2">
      <c r="A15" s="33" t="str">
        <f>OVERALL!A15</f>
        <v>CONFIRM</v>
      </c>
      <c r="B15" s="3">
        <f>IF(C15=0,"-",COUNTIF(D15:I15,"y")/C15)</f>
        <v>0</v>
      </c>
      <c r="C15" s="26">
        <f>$C$2-COUNTIF(D15:I15, "-")</f>
        <v>6</v>
      </c>
      <c r="D15" s="309" t="s">
        <v>121</v>
      </c>
      <c r="E15" s="304" t="s">
        <v>121</v>
      </c>
      <c r="F15" s="293" t="s">
        <v>121</v>
      </c>
      <c r="G15" s="311" t="s">
        <v>121</v>
      </c>
      <c r="H15" s="309" t="s">
        <v>121</v>
      </c>
      <c r="I15" s="295"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0.66666666666666663</v>
      </c>
      <c r="C17" s="1" t="s">
        <v>1</v>
      </c>
      <c r="D17" s="29">
        <f>IF(D22=0,"-",(COUNTIF(D18:D21, "y")/D22)*OVERALL!$C$17)</f>
        <v>0.25</v>
      </c>
      <c r="E17" s="29">
        <f>IF(E22=0,"-",(COUNTIF(E18:E21, "y")/E22)*OVERALL!$C$17)</f>
        <v>0.125</v>
      </c>
      <c r="F17" s="29">
        <f>IF(F22=0,"-",(COUNTIF(F18:F21, "y")/F22)*OVERALL!$C$17)</f>
        <v>0.1875</v>
      </c>
      <c r="G17" s="29">
        <f>IF(G22=0,"-",(COUNTIF(G18:G21, "y")/G22)*OVERALL!$C$17)</f>
        <v>0.125</v>
      </c>
      <c r="H17" s="29">
        <f>IF(H22=0,"-",(COUNTIF(H18:H21, "y")/H22)*OVERALL!$C$17)</f>
        <v>0.1875</v>
      </c>
      <c r="I17" s="29">
        <f>IF(I22=0,"-",(COUNTIF(I18:I21, "y")/I22)*OVERALL!$C$17)</f>
        <v>0.125</v>
      </c>
      <c r="K17" s="9" t="s">
        <v>6</v>
      </c>
    </row>
    <row r="18" spans="1:14" ht="18" customHeight="1" x14ac:dyDescent="0.2">
      <c r="A18" s="33" t="str">
        <f>OVERALL!A18</f>
        <v>INFORM</v>
      </c>
      <c r="B18" s="3">
        <f>IF(C18=0,"-",COUNTIF(D18:I18,"y")/C18)</f>
        <v>0.66666666666666663</v>
      </c>
      <c r="C18" s="26">
        <f>$C$2-COUNTIF(D18:I18, "-")</f>
        <v>6</v>
      </c>
      <c r="D18" s="309" t="s">
        <v>122</v>
      </c>
      <c r="E18" s="304" t="s">
        <v>122</v>
      </c>
      <c r="F18" s="293" t="s">
        <v>122</v>
      </c>
      <c r="G18" s="311" t="s">
        <v>121</v>
      </c>
      <c r="H18" s="309" t="s">
        <v>122</v>
      </c>
      <c r="I18" s="295" t="s">
        <v>121</v>
      </c>
    </row>
    <row r="19" spans="1:14" ht="18" customHeight="1" x14ac:dyDescent="0.2">
      <c r="A19" s="33" t="str">
        <f>OVERALL!A19</f>
        <v>CHECK</v>
      </c>
      <c r="B19" s="3">
        <f>IF(C19=0,"-",COUNTIF(D19:I19,"y")/C19)</f>
        <v>0.16666666666666666</v>
      </c>
      <c r="C19" s="26">
        <f>$C$2-COUNTIF(D19:I19, "-")</f>
        <v>6</v>
      </c>
      <c r="D19" s="309" t="s">
        <v>122</v>
      </c>
      <c r="E19" s="304" t="s">
        <v>121</v>
      </c>
      <c r="F19" s="293" t="s">
        <v>121</v>
      </c>
      <c r="G19" s="311" t="s">
        <v>121</v>
      </c>
      <c r="H19" s="309" t="s">
        <v>121</v>
      </c>
      <c r="I19" s="295" t="s">
        <v>121</v>
      </c>
    </row>
    <row r="20" spans="1:14" ht="18" customHeight="1" x14ac:dyDescent="0.2">
      <c r="A20" s="33" t="str">
        <f>OVERALL!A20</f>
        <v>SEEK</v>
      </c>
      <c r="B20" s="3">
        <f>IF(C20=0,"-",COUNTIF(D20:I20,"y")/C20)</f>
        <v>0.83333333333333337</v>
      </c>
      <c r="C20" s="26">
        <f>$C$2-COUNTIF(D20:I20, "-")</f>
        <v>6</v>
      </c>
      <c r="D20" s="309" t="s">
        <v>122</v>
      </c>
      <c r="E20" s="304" t="s">
        <v>121</v>
      </c>
      <c r="F20" s="293" t="s">
        <v>122</v>
      </c>
      <c r="G20" s="311" t="s">
        <v>122</v>
      </c>
      <c r="H20" s="309" t="s">
        <v>122</v>
      </c>
      <c r="I20" s="295" t="s">
        <v>122</v>
      </c>
      <c r="K20" t="s">
        <v>1</v>
      </c>
    </row>
    <row r="21" spans="1:14" ht="18" customHeight="1" x14ac:dyDescent="0.2">
      <c r="A21" s="33" t="str">
        <f>OVERALL!A21</f>
        <v>CONFIDENCE</v>
      </c>
      <c r="B21" s="3">
        <f>IF(C21=0,"-",COUNTIF(D21:I21,"y")/C21)</f>
        <v>1</v>
      </c>
      <c r="C21" s="26">
        <f>$C$2-COUNTIF(D21:I21, "-")</f>
        <v>6</v>
      </c>
      <c r="D21" s="309" t="s">
        <v>122</v>
      </c>
      <c r="E21" s="304" t="s">
        <v>122</v>
      </c>
      <c r="F21" s="293" t="s">
        <v>122</v>
      </c>
      <c r="G21" s="311" t="s">
        <v>122</v>
      </c>
      <c r="H21" s="309" t="s">
        <v>122</v>
      </c>
      <c r="I21" s="295"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4.9999999999999996E-2</v>
      </c>
      <c r="G23" s="29">
        <f>IF(G27=0,"-",(COUNTIF(G24:G26, "y")/G27)*OVERALL!$C$23)</f>
        <v>0.15</v>
      </c>
      <c r="H23" s="29">
        <f>IF(H27=0,"-",(COUNTIF(H24:H26, "y")/H27)*OVERALL!$C$23)</f>
        <v>4.9999999999999996E-2</v>
      </c>
      <c r="I23" s="29">
        <f>IF(I27=0,"-",(COUNTIF(I24:I26, "y")/I27)*OVERALL!$C$23)</f>
        <v>0.15</v>
      </c>
    </row>
    <row r="24" spans="1:14" ht="18" customHeight="1" x14ac:dyDescent="0.2">
      <c r="A24" s="33" t="str">
        <f>OVERALL!A24</f>
        <v>QUESTIONS</v>
      </c>
      <c r="B24" s="3">
        <f>IF(C24=0,"-",COUNTIF(D24:I24,"y")/C24)</f>
        <v>0.5</v>
      </c>
      <c r="C24" s="26">
        <f>$C$2-COUNTIF(D24:I24, "-")</f>
        <v>6</v>
      </c>
      <c r="D24" s="309" t="s">
        <v>121</v>
      </c>
      <c r="E24" s="304" t="s">
        <v>122</v>
      </c>
      <c r="F24" s="293" t="s">
        <v>121</v>
      </c>
      <c r="G24" s="311" t="s">
        <v>122</v>
      </c>
      <c r="H24" s="309" t="s">
        <v>121</v>
      </c>
      <c r="I24" s="295" t="s">
        <v>122</v>
      </c>
    </row>
    <row r="25" spans="1:14" ht="18" customHeight="1" x14ac:dyDescent="0.2">
      <c r="A25" s="33" t="str">
        <f>OVERALL!A25</f>
        <v>GRATITUDE</v>
      </c>
      <c r="B25" s="3">
        <f>IF(C25=0,"-",COUNTIF(D25:I25,"y")/C25)</f>
        <v>0.5</v>
      </c>
      <c r="C25" s="26">
        <f>$C$2-COUNTIF(D25:I25, "-")</f>
        <v>6</v>
      </c>
      <c r="D25" s="309" t="s">
        <v>122</v>
      </c>
      <c r="E25" s="304" t="s">
        <v>121</v>
      </c>
      <c r="F25" s="293" t="s">
        <v>121</v>
      </c>
      <c r="G25" s="311" t="s">
        <v>122</v>
      </c>
      <c r="H25" s="309" t="s">
        <v>121</v>
      </c>
      <c r="I25" s="295" t="s">
        <v>122</v>
      </c>
    </row>
    <row r="26" spans="1:14" ht="18" customHeight="1" x14ac:dyDescent="0.2">
      <c r="A26" s="33" t="str">
        <f>OVERALL!A26</f>
        <v>THANKS</v>
      </c>
      <c r="B26" s="3">
        <f>IF(C26=0,"-",COUNTIF(D26:I26,"y")/C26)</f>
        <v>1</v>
      </c>
      <c r="C26" s="26">
        <f>$C$2-COUNTIF(D26:I26, "-")</f>
        <v>6</v>
      </c>
      <c r="D26" s="309" t="s">
        <v>122</v>
      </c>
      <c r="E26" s="304" t="s">
        <v>122</v>
      </c>
      <c r="F26" s="293" t="s">
        <v>122</v>
      </c>
      <c r="G26" s="311" t="s">
        <v>122</v>
      </c>
      <c r="H26" s="309" t="s">
        <v>122</v>
      </c>
      <c r="I26" s="295"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0.83333333333333337</v>
      </c>
      <c r="C28" s="1" t="s">
        <v>1</v>
      </c>
      <c r="D28" s="29">
        <f>IF(D33=0,"-",(COUNTIF(D29:D32, "y")/D33)*OVERALL!$C$28)</f>
        <v>0.2</v>
      </c>
      <c r="E28" s="29">
        <f>IF(E33=0,"-",(COUNTIF(E29:E32, "y")/E33)*OVERALL!$C$28)</f>
        <v>0.2</v>
      </c>
      <c r="F28" s="29">
        <f>IF(F33=0,"-",(COUNTIF(F29:F32, "y")/F33)*OVERALL!$C$28)</f>
        <v>0.2</v>
      </c>
      <c r="G28" s="29">
        <f>IF(G33=0,"-",(COUNTIF(G29:G32, "y")/G33)*OVERALL!$C$28)</f>
        <v>0.05</v>
      </c>
      <c r="H28" s="29">
        <f>IF(H33=0,"-",(COUNTIF(H29:H32, "y")/H33)*OVERALL!$C$28)</f>
        <v>0.2</v>
      </c>
      <c r="I28" s="29">
        <f>IF(I33=0,"-",(COUNTIF(I29:I32, "y")/I33)*OVERALL!$C$28)</f>
        <v>0.15000000000000002</v>
      </c>
    </row>
    <row r="29" spans="1:14" ht="18" customHeight="1" x14ac:dyDescent="0.2">
      <c r="A29" s="33" t="str">
        <f>OVERALL!A29</f>
        <v>VIBRANCY</v>
      </c>
      <c r="B29" s="3">
        <f>IF(C29=0,"-",COUNTIF(D29:I29,"y")/C29)</f>
        <v>1</v>
      </c>
      <c r="C29" s="26">
        <f>$C$2-COUNTIF(D29:I29, "-")</f>
        <v>6</v>
      </c>
      <c r="D29" s="309" t="s">
        <v>122</v>
      </c>
      <c r="E29" s="304" t="s">
        <v>122</v>
      </c>
      <c r="F29" s="293" t="s">
        <v>122</v>
      </c>
      <c r="G29" s="311" t="s">
        <v>122</v>
      </c>
      <c r="H29" s="309" t="s">
        <v>122</v>
      </c>
      <c r="I29" s="295" t="s">
        <v>122</v>
      </c>
    </row>
    <row r="30" spans="1:14" ht="18" customHeight="1" x14ac:dyDescent="0.2">
      <c r="A30" s="33" t="str">
        <f>OVERALL!A30</f>
        <v>EMPATHY</v>
      </c>
      <c r="B30" s="3">
        <f>IF(C30=0,"-",COUNTIF(D30:I30,"y")/C30)</f>
        <v>0.66666666666666663</v>
      </c>
      <c r="C30" s="26">
        <f>$C$2-COUNTIF(D30:I30, "-")</f>
        <v>6</v>
      </c>
      <c r="D30" s="309" t="s">
        <v>122</v>
      </c>
      <c r="E30" s="304" t="s">
        <v>122</v>
      </c>
      <c r="F30" s="293" t="s">
        <v>122</v>
      </c>
      <c r="G30" s="311" t="s">
        <v>121</v>
      </c>
      <c r="H30" s="309" t="s">
        <v>122</v>
      </c>
      <c r="I30" s="295" t="s">
        <v>121</v>
      </c>
    </row>
    <row r="31" spans="1:14" ht="18" customHeight="1" x14ac:dyDescent="0.2">
      <c r="A31" s="33" t="str">
        <f>OVERALL!A31</f>
        <v>CONTROL</v>
      </c>
      <c r="B31" s="3">
        <f>IF(C31=0,"-",COUNTIF(D31:I31,"y")/C31)</f>
        <v>0.83333333333333337</v>
      </c>
      <c r="C31" s="26">
        <f>$C$2-COUNTIF(D31:I31, "-")</f>
        <v>6</v>
      </c>
      <c r="D31" s="309" t="s">
        <v>122</v>
      </c>
      <c r="E31" s="304" t="s">
        <v>122</v>
      </c>
      <c r="F31" s="293" t="s">
        <v>122</v>
      </c>
      <c r="G31" s="311" t="s">
        <v>121</v>
      </c>
      <c r="H31" s="309" t="s">
        <v>122</v>
      </c>
      <c r="I31" s="295" t="s">
        <v>122</v>
      </c>
    </row>
    <row r="32" spans="1:14" ht="18" customHeight="1" x14ac:dyDescent="0.2">
      <c r="A32" s="33" t="str">
        <f>OVERALL!A32</f>
        <v>CLARITY</v>
      </c>
      <c r="B32" s="3">
        <f>IF(C32=0,"-",COUNTIF(D32:I32,"y")/C32)</f>
        <v>0.83333333333333337</v>
      </c>
      <c r="C32" s="26">
        <f>$C$2-COUNTIF(D32:I32, "-")</f>
        <v>6</v>
      </c>
      <c r="D32" s="309" t="s">
        <v>122</v>
      </c>
      <c r="E32" s="304" t="s">
        <v>122</v>
      </c>
      <c r="F32" s="293" t="s">
        <v>122</v>
      </c>
      <c r="G32" s="311" t="s">
        <v>121</v>
      </c>
      <c r="H32" s="309" t="s">
        <v>122</v>
      </c>
      <c r="I32" s="295" t="s">
        <v>122</v>
      </c>
      <c r="N32" t="s">
        <v>1</v>
      </c>
    </row>
    <row r="33" spans="1:19"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9" ht="18" customHeight="1" x14ac:dyDescent="0.2">
      <c r="A34" s="42" t="str">
        <f>OVERALL!A34</f>
        <v>% OF CALLS WITH DEDUCTIONS</v>
      </c>
      <c r="B34" s="43">
        <f>IF(C37=0,"-",SUM(D37:I37)/C37)</f>
        <v>0.16666666666666666</v>
      </c>
      <c r="C34" s="1" t="s">
        <v>1</v>
      </c>
      <c r="D34" s="44">
        <f t="shared" ref="D34:I34" si="8">IF(D37=0,"-",IF(D37="","-",IF(D35="y",$K$35,IF(D36="y",$K$36,0%))))</f>
        <v>-0.1</v>
      </c>
      <c r="E34" s="44" t="str">
        <f t="shared" si="8"/>
        <v>-</v>
      </c>
      <c r="F34" s="44" t="str">
        <f t="shared" si="8"/>
        <v>-</v>
      </c>
      <c r="G34" s="44" t="str">
        <f t="shared" si="8"/>
        <v>-</v>
      </c>
      <c r="H34" s="44" t="str">
        <f t="shared" si="8"/>
        <v>-</v>
      </c>
      <c r="I34" s="44" t="str">
        <f t="shared" si="8"/>
        <v>-</v>
      </c>
      <c r="K34" s="44" t="s">
        <v>51</v>
      </c>
    </row>
    <row r="35" spans="1:19" ht="18" customHeight="1" x14ac:dyDescent="0.2">
      <c r="A35" s="45" t="str">
        <f>OVERALL!A35</f>
        <v>AUDIO ISSUE (MAJOR IMPACT)</v>
      </c>
      <c r="B35" s="3">
        <f>IF(C35=0,"-",COUNTIF(D35:I35,"y")/C35)</f>
        <v>0</v>
      </c>
      <c r="C35" s="26">
        <f>$C$2-COUNTIF(D35:I35, "-")</f>
        <v>6</v>
      </c>
      <c r="D35" s="309" t="s">
        <v>121</v>
      </c>
      <c r="E35" s="304" t="s">
        <v>121</v>
      </c>
      <c r="F35" s="293" t="s">
        <v>121</v>
      </c>
      <c r="G35" s="311" t="s">
        <v>121</v>
      </c>
      <c r="H35" s="309" t="s">
        <v>121</v>
      </c>
      <c r="I35" s="295" t="s">
        <v>121</v>
      </c>
      <c r="K35" s="48">
        <v>-0.3</v>
      </c>
      <c r="M35" s="48"/>
      <c r="N35" s="48"/>
      <c r="O35" s="48"/>
    </row>
    <row r="36" spans="1:19" ht="18" customHeight="1" x14ac:dyDescent="0.2">
      <c r="A36" s="45" t="str">
        <f>OVERALL!A36</f>
        <v>AUDIO ISSUE (DISTRACTION)</v>
      </c>
      <c r="B36" s="3">
        <f>IF(C36=0,"-",COUNTIF(D36:I36,"y")/C36)</f>
        <v>0.16666666666666666</v>
      </c>
      <c r="C36" s="26">
        <f>$C$2-COUNTIF(D36:I36, "-")</f>
        <v>6</v>
      </c>
      <c r="D36" s="309" t="s">
        <v>122</v>
      </c>
      <c r="E36" s="304" t="s">
        <v>121</v>
      </c>
      <c r="F36" s="293" t="s">
        <v>121</v>
      </c>
      <c r="G36" s="311" t="s">
        <v>121</v>
      </c>
      <c r="H36" s="309" t="s">
        <v>121</v>
      </c>
      <c r="I36" s="295" t="s">
        <v>121</v>
      </c>
      <c r="K36" s="48">
        <v>-0.1</v>
      </c>
      <c r="M36" s="48"/>
      <c r="N36" s="48"/>
      <c r="O36" s="48"/>
    </row>
    <row r="37" spans="1:19" ht="18" customHeight="1" x14ac:dyDescent="0.2">
      <c r="A37" s="5"/>
      <c r="B37" s="6"/>
      <c r="C37" s="64">
        <f>C35</f>
        <v>6</v>
      </c>
      <c r="D37" s="27">
        <f t="shared" ref="D37:I37" si="9">IF(D35="NA","",COUNTIF(D35:D36, "y"))</f>
        <v>1</v>
      </c>
      <c r="E37" s="27">
        <f t="shared" si="9"/>
        <v>0</v>
      </c>
      <c r="F37" s="27">
        <f t="shared" si="9"/>
        <v>0</v>
      </c>
      <c r="G37" s="27">
        <f t="shared" si="9"/>
        <v>0</v>
      </c>
      <c r="H37" s="27">
        <f t="shared" si="9"/>
        <v>0</v>
      </c>
      <c r="I37" s="27">
        <f t="shared" si="9"/>
        <v>0</v>
      </c>
    </row>
    <row r="38" spans="1:19" ht="18" customHeight="1" x14ac:dyDescent="0.2">
      <c r="A38" s="353" t="str">
        <f>OVERALL!A38</f>
        <v>ADDITIONAL INSIGHT</v>
      </c>
      <c r="B38" s="354"/>
      <c r="C38" s="10" t="s">
        <v>1</v>
      </c>
      <c r="D38" s="30"/>
      <c r="E38" s="30"/>
      <c r="F38" s="30"/>
      <c r="G38" s="30"/>
      <c r="H38" s="30"/>
      <c r="I38" s="30"/>
    </row>
    <row r="39" spans="1:19" ht="18" customHeight="1" x14ac:dyDescent="0.2">
      <c r="A39" s="33" t="str">
        <f>OVERALL!A39</f>
        <v>CALL ANSWERED-QUALITY</v>
      </c>
      <c r="B39" s="3">
        <f>IF(C39=0,"-",COUNTIF(D39:I39, "y")/C39)</f>
        <v>1</v>
      </c>
      <c r="C39" s="26">
        <f t="shared" ref="C39:C45" si="10">$C$2-COUNTIF(D39:I39, "-")</f>
        <v>6</v>
      </c>
      <c r="D39" s="309" t="s">
        <v>122</v>
      </c>
      <c r="E39" s="304" t="s">
        <v>122</v>
      </c>
      <c r="F39" s="293" t="s">
        <v>122</v>
      </c>
      <c r="G39" s="311" t="s">
        <v>122</v>
      </c>
      <c r="H39" s="309" t="s">
        <v>122</v>
      </c>
      <c r="I39" s="295" t="s">
        <v>122</v>
      </c>
    </row>
    <row r="40" spans="1:19" ht="18" customHeight="1" x14ac:dyDescent="0.2">
      <c r="A40" s="33" t="str">
        <f>OVERALL!A40</f>
        <v>TALK TIME</v>
      </c>
      <c r="B40" s="283">
        <f>IF(C40=0,"-",AVERAGE(D40:I40))</f>
        <v>3.1809413580246916E-3</v>
      </c>
      <c r="C40" s="26">
        <f t="shared" si="10"/>
        <v>6</v>
      </c>
      <c r="D40" s="299">
        <v>4.4675925925925924E-3</v>
      </c>
      <c r="E40" s="287">
        <v>3.6458333333333334E-3</v>
      </c>
      <c r="F40" s="287">
        <v>3.7499999999999999E-3</v>
      </c>
      <c r="G40" s="287">
        <v>2.5115740740740741E-3</v>
      </c>
      <c r="H40" s="287">
        <v>2.638888888888889E-3</v>
      </c>
      <c r="I40" s="287">
        <v>2.0717592592592593E-3</v>
      </c>
      <c r="J40" s="46"/>
      <c r="K40" s="267"/>
      <c r="L40" s="267"/>
      <c r="M40" s="267"/>
      <c r="N40" s="267"/>
      <c r="O40" s="267"/>
      <c r="P40" s="267"/>
      <c r="Q40" s="267"/>
      <c r="R40" s="267"/>
      <c r="S40" s="267"/>
    </row>
    <row r="41" spans="1:19" ht="18" customHeight="1" x14ac:dyDescent="0.2">
      <c r="A41" s="33" t="str">
        <f>OVERALL!A41</f>
        <v>ASSESSOR RATING (0-10)</v>
      </c>
      <c r="B41" s="289">
        <f>IF(C41=0,"-",SUM(D41:I41)/C41)</f>
        <v>5.5</v>
      </c>
      <c r="C41" s="26">
        <f t="shared" si="10"/>
        <v>6</v>
      </c>
      <c r="D41" s="300">
        <v>7</v>
      </c>
      <c r="E41" s="291">
        <v>6</v>
      </c>
      <c r="F41" s="291">
        <v>5</v>
      </c>
      <c r="G41" s="291">
        <v>5</v>
      </c>
      <c r="H41" s="291">
        <v>5</v>
      </c>
      <c r="I41" s="291">
        <v>5</v>
      </c>
    </row>
    <row r="42" spans="1:19" ht="18" customHeight="1" x14ac:dyDescent="0.2">
      <c r="A42" s="33" t="str">
        <f>OVERALL!A42</f>
        <v>EXPLAINED KEY FEATURES</v>
      </c>
      <c r="B42" s="3">
        <f>IF(C42=0,"-",COUNTIF(D42:I42, "y")/C42)</f>
        <v>0.4</v>
      </c>
      <c r="C42" s="26">
        <f t="shared" si="10"/>
        <v>5</v>
      </c>
      <c r="D42" s="309" t="s">
        <v>122</v>
      </c>
      <c r="E42" s="304" t="s">
        <v>121</v>
      </c>
      <c r="F42" s="293" t="s">
        <v>122</v>
      </c>
      <c r="G42" s="311" t="s">
        <v>121</v>
      </c>
      <c r="H42" s="309" t="s">
        <v>78</v>
      </c>
      <c r="I42" s="295" t="s">
        <v>121</v>
      </c>
      <c r="J42" s="47"/>
      <c r="K42" t="s">
        <v>1</v>
      </c>
    </row>
    <row r="43" spans="1:19" ht="18" customHeight="1" x14ac:dyDescent="0.2">
      <c r="A43" s="33" t="str">
        <f>OVERALL!A43</f>
        <v>REVEALED PRICING</v>
      </c>
      <c r="B43" s="3">
        <f>IF(C43=0,"-",COUNTIF(D43:I43, "y")/C43)</f>
        <v>1</v>
      </c>
      <c r="C43" s="26">
        <f t="shared" si="10"/>
        <v>5</v>
      </c>
      <c r="D43" s="309" t="s">
        <v>122</v>
      </c>
      <c r="E43" s="304" t="s">
        <v>122</v>
      </c>
      <c r="F43" s="293" t="s">
        <v>122</v>
      </c>
      <c r="G43" s="311" t="s">
        <v>122</v>
      </c>
      <c r="H43" s="309" t="s">
        <v>78</v>
      </c>
      <c r="I43" s="295" t="s">
        <v>122</v>
      </c>
    </row>
    <row r="44" spans="1:19" ht="18" customHeight="1" x14ac:dyDescent="0.2">
      <c r="A44" s="33" t="str">
        <f>OVERALL!A44</f>
        <v>EXPLAINED ACTIONS &amp; PROCESS</v>
      </c>
      <c r="B44" s="3">
        <f>IF(C44=0,"-",COUNTIF(D44:I44, "y")/C44)</f>
        <v>0.66666666666666663</v>
      </c>
      <c r="C44" s="26">
        <f t="shared" si="10"/>
        <v>6</v>
      </c>
      <c r="D44" s="309" t="s">
        <v>122</v>
      </c>
      <c r="E44" s="304" t="s">
        <v>122</v>
      </c>
      <c r="F44" s="293" t="s">
        <v>122</v>
      </c>
      <c r="G44" s="311" t="s">
        <v>121</v>
      </c>
      <c r="H44" s="309" t="s">
        <v>122</v>
      </c>
      <c r="I44" s="295" t="s">
        <v>121</v>
      </c>
    </row>
    <row r="45" spans="1:19" ht="18" customHeight="1" x14ac:dyDescent="0.2">
      <c r="A45" s="33" t="str">
        <f>OVERALL!A45</f>
        <v>WEBSITE EDUCATION</v>
      </c>
      <c r="B45" s="3">
        <f>IF(C45=0,"-",COUNTIF(D45:I45, "y")/C45)</f>
        <v>0.33333333333333331</v>
      </c>
      <c r="C45" s="26">
        <f t="shared" si="10"/>
        <v>6</v>
      </c>
      <c r="D45" s="309" t="s">
        <v>121</v>
      </c>
      <c r="E45" s="304" t="s">
        <v>122</v>
      </c>
      <c r="F45" s="293" t="s">
        <v>121</v>
      </c>
      <c r="G45" s="311" t="s">
        <v>121</v>
      </c>
      <c r="H45" s="309" t="s">
        <v>121</v>
      </c>
      <c r="I45" s="295" t="s">
        <v>122</v>
      </c>
    </row>
    <row r="46" spans="1:19" ht="18" customHeight="1" x14ac:dyDescent="0.2">
      <c r="A46" s="18"/>
      <c r="B46" s="3"/>
      <c r="C46" s="26"/>
      <c r="D46" s="265"/>
      <c r="E46" s="265"/>
      <c r="F46" s="265"/>
      <c r="G46" s="265"/>
      <c r="H46" s="265"/>
      <c r="I46" s="265"/>
    </row>
    <row r="47" spans="1:19" ht="180" x14ac:dyDescent="0.2">
      <c r="A47" s="25" t="s">
        <v>1</v>
      </c>
      <c r="B47" s="355" t="s">
        <v>36</v>
      </c>
      <c r="C47" s="356"/>
      <c r="D47" s="23" t="s">
        <v>180</v>
      </c>
      <c r="E47" s="23" t="s">
        <v>162</v>
      </c>
      <c r="F47" s="23" t="s">
        <v>125</v>
      </c>
      <c r="G47" s="23" t="s">
        <v>187</v>
      </c>
      <c r="H47" s="23" t="s">
        <v>182</v>
      </c>
      <c r="I47" s="23" t="s">
        <v>138</v>
      </c>
    </row>
    <row r="48" spans="1:19" ht="18" customHeight="1" x14ac:dyDescent="0.2">
      <c r="A48" s="60" t="s">
        <v>48</v>
      </c>
      <c r="D48" s="51">
        <f t="shared" ref="D48:I48" si="11">IF(D$2="","",IF(D$39="n", "", SUM(D$6,D$12,D$17,D$23,D$28,D$34)))</f>
        <v>0.61666666666666681</v>
      </c>
      <c r="E48" s="51">
        <f t="shared" si="11"/>
        <v>0.59166666666666667</v>
      </c>
      <c r="F48" s="51">
        <f t="shared" si="11"/>
        <v>0.50416666666666665</v>
      </c>
      <c r="G48" s="51">
        <f t="shared" si="11"/>
        <v>0.49166666666666664</v>
      </c>
      <c r="H48" s="51">
        <f t="shared" si="11"/>
        <v>0.60416666666666674</v>
      </c>
      <c r="I48" s="51">
        <f t="shared" si="11"/>
        <v>0.54166666666666674</v>
      </c>
    </row>
    <row r="50" spans="1:9" ht="19" x14ac:dyDescent="0.25">
      <c r="A50" s="111" t="s">
        <v>75</v>
      </c>
      <c r="B50" s="91" t="s">
        <v>76</v>
      </c>
    </row>
    <row r="51" spans="1:9" x14ac:dyDescent="0.2">
      <c r="A51" s="112" t="s">
        <v>64</v>
      </c>
      <c r="B51" s="113">
        <v>0.3</v>
      </c>
      <c r="C51" s="112"/>
      <c r="D51" s="257">
        <f>[1]ALINTA!D$4</f>
        <v>0.64249999999999996</v>
      </c>
      <c r="E51" s="257">
        <f>[1]ALINTA!E$4</f>
        <v>0.64249999999999996</v>
      </c>
      <c r="F51" s="257">
        <f>[1]ALINTA!F$4</f>
        <v>0.67374999999999996</v>
      </c>
      <c r="G51" s="257">
        <f>[1]ALINTA!G$4</f>
        <v>0.57999999999999996</v>
      </c>
      <c r="H51" s="257">
        <f>[1]ALINTA!H$4</f>
        <v>0.67374999999999996</v>
      </c>
      <c r="I51" s="257">
        <f>[1]ALINTA!I$4</f>
        <v>0.41124999999999995</v>
      </c>
    </row>
    <row r="52" spans="1:9" x14ac:dyDescent="0.2">
      <c r="A52" s="112" t="s">
        <v>65</v>
      </c>
      <c r="B52" s="113">
        <v>0.7</v>
      </c>
      <c r="C52" s="112"/>
      <c r="D52" s="258">
        <f t="shared" ref="D52:I52" si="12">D4</f>
        <v>0.61666666666666681</v>
      </c>
      <c r="E52" s="258">
        <f t="shared" si="12"/>
        <v>0.59166666666666667</v>
      </c>
      <c r="F52" s="258">
        <f t="shared" si="12"/>
        <v>0.50416666666666665</v>
      </c>
      <c r="G52" s="258">
        <f t="shared" si="12"/>
        <v>0.49166666666666664</v>
      </c>
      <c r="H52" s="258">
        <f t="shared" si="12"/>
        <v>0.60416666666666674</v>
      </c>
      <c r="I52" s="258">
        <f t="shared" si="12"/>
        <v>0.54166666666666674</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0.19274999999999998</v>
      </c>
      <c r="E55" s="258">
        <f t="shared" ref="E55:I55" si="13">IF(E51="-","-",E51*$B$51)</f>
        <v>0.19274999999999998</v>
      </c>
      <c r="F55" s="258">
        <f t="shared" si="13"/>
        <v>0.20212499999999997</v>
      </c>
      <c r="G55" s="258">
        <f t="shared" si="13"/>
        <v>0.17399999999999999</v>
      </c>
      <c r="H55" s="258">
        <f t="shared" si="13"/>
        <v>0.20212499999999997</v>
      </c>
      <c r="I55" s="258">
        <f t="shared" si="13"/>
        <v>0.12337499999999998</v>
      </c>
    </row>
    <row r="56" spans="1:9" x14ac:dyDescent="0.2">
      <c r="A56" s="112" t="s">
        <v>65</v>
      </c>
      <c r="B56" s="112"/>
      <c r="C56" s="112"/>
      <c r="D56" s="258">
        <f t="shared" ref="D56:I56" si="14">IF(D52="-","-",D52*$B$52)</f>
        <v>0.43166666666666675</v>
      </c>
      <c r="E56" s="258">
        <f t="shared" si="14"/>
        <v>0.41416666666666663</v>
      </c>
      <c r="F56" s="258">
        <f t="shared" si="14"/>
        <v>0.35291666666666666</v>
      </c>
      <c r="G56" s="258">
        <f t="shared" si="14"/>
        <v>0.34416666666666662</v>
      </c>
      <c r="H56" s="258">
        <f t="shared" si="14"/>
        <v>0.42291666666666672</v>
      </c>
      <c r="I56" s="258">
        <f t="shared" si="14"/>
        <v>0.37916666666666671</v>
      </c>
    </row>
    <row r="57" spans="1:9" x14ac:dyDescent="0.2">
      <c r="A57" s="115" t="s">
        <v>60</v>
      </c>
      <c r="B57" s="115"/>
      <c r="C57" s="115"/>
      <c r="D57" s="116">
        <f t="shared" ref="D57:I57" si="15">IF(D51="","",IF(D52="","",SUM(D55:D56)))</f>
        <v>0.62441666666666673</v>
      </c>
      <c r="E57" s="116">
        <f t="shared" si="15"/>
        <v>0.60691666666666655</v>
      </c>
      <c r="F57" s="116">
        <f t="shared" si="15"/>
        <v>0.55504166666666666</v>
      </c>
      <c r="G57" s="116">
        <f t="shared" si="15"/>
        <v>0.51816666666666666</v>
      </c>
      <c r="H57" s="116">
        <f t="shared" si="15"/>
        <v>0.62504166666666672</v>
      </c>
      <c r="I57" s="116">
        <f t="shared" si="15"/>
        <v>0.50254166666666666</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90" zoomScaleNormal="90" workbookViewId="0">
      <pane xSplit="3" ySplit="6" topLeftCell="D47" activePane="bottomRight" state="frozen"/>
      <selection activeCell="G47" sqref="G47"/>
      <selection pane="topRight" activeCell="G47" sqref="G47"/>
      <selection pane="bottomLeft" activeCell="G47" sqref="G47"/>
      <selection pane="bottomRight" activeCell="D51" sqref="D5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8" t="s">
        <v>150</v>
      </c>
      <c r="E2" s="303" t="s">
        <v>159</v>
      </c>
      <c r="F2" s="294" t="s">
        <v>126</v>
      </c>
      <c r="G2" s="312" t="s">
        <v>192</v>
      </c>
      <c r="H2" s="306" t="s">
        <v>146</v>
      </c>
      <c r="I2" s="296" t="s">
        <v>139</v>
      </c>
    </row>
    <row r="3" spans="1:11" ht="19" x14ac:dyDescent="0.2">
      <c r="A3" s="32" t="str">
        <f>OVERALL!F1</f>
        <v>ENERGY AUSTRALIA</v>
      </c>
      <c r="B3" s="249">
        <f>OVERALL!F3</f>
        <v>0.64276190476190465</v>
      </c>
      <c r="C3" s="109" t="s">
        <v>74</v>
      </c>
      <c r="D3" s="110">
        <f>IF(D2="-","-",D57)</f>
        <v>0.55276190476190479</v>
      </c>
      <c r="E3" s="110">
        <f t="shared" ref="E3:I3" si="0">IF(E2="-","-",E57)</f>
        <v>0.63966666666666661</v>
      </c>
      <c r="F3" s="110">
        <f t="shared" si="0"/>
        <v>0.68195833333333344</v>
      </c>
      <c r="G3" s="110">
        <f t="shared" si="0"/>
        <v>0.57466666666666666</v>
      </c>
      <c r="H3" s="110">
        <f t="shared" si="0"/>
        <v>0.69285119047619037</v>
      </c>
      <c r="I3" s="110">
        <f t="shared" si="0"/>
        <v>0.71466666666666656</v>
      </c>
    </row>
    <row r="4" spans="1:11" ht="18" customHeight="1" x14ac:dyDescent="0.2">
      <c r="A4" s="17" t="str">
        <f>OVERALL!A4</f>
        <v>QUALITY SCORE</v>
      </c>
      <c r="B4" s="38">
        <f>IF(C2=0, "-", IF(COUNTIF(D39:I39, "n")=C2, "-", IF(COUNT(D4:I4)=0, "-", AVERAGE(D4:I4))))</f>
        <v>0.68541666666666667</v>
      </c>
      <c r="C4" s="59" t="s">
        <v>1</v>
      </c>
      <c r="D4" s="38">
        <f>IF(D48&lt;0%,0%,IF(D$2="-","-",IF(D$39="n", "-", SUM(D$6,D$12,D$17,D$23,D$28,D$34))))</f>
        <v>0.62083333333333335</v>
      </c>
      <c r="E4" s="38">
        <f t="shared" ref="E4:I4" si="1">IF(E48&lt;0%,0%,IF(E$2="-","-",IF(E$39="n", "-", SUM(E$6,E$12,E$17,E$23,E$28,E$34))))</f>
        <v>0.69166666666666665</v>
      </c>
      <c r="F4" s="38">
        <f t="shared" si="1"/>
        <v>0.72083333333333344</v>
      </c>
      <c r="G4" s="38">
        <f t="shared" si="1"/>
        <v>0.5541666666666667</v>
      </c>
      <c r="H4" s="38">
        <f t="shared" si="1"/>
        <v>0.77083333333333326</v>
      </c>
      <c r="I4" s="38">
        <f t="shared" si="1"/>
        <v>0.75416666666666665</v>
      </c>
      <c r="K4" s="12" t="s">
        <v>8</v>
      </c>
    </row>
    <row r="5" spans="1:11" ht="18" customHeight="1" x14ac:dyDescent="0.25">
      <c r="A5" s="58" t="s">
        <v>49</v>
      </c>
      <c r="B5" s="59">
        <f>IF(B6="-","-",AVERAGE(D5:I5))</f>
        <v>0.68541666666666667</v>
      </c>
      <c r="C5" s="59" t="s">
        <v>1</v>
      </c>
      <c r="D5" s="61">
        <f t="shared" ref="D5:I5" si="2">IF(D$2="","",IF(D$39="n", "", SUM(D$6,D$12,D$17,D$23,D$28)))</f>
        <v>0.62083333333333335</v>
      </c>
      <c r="E5" s="61">
        <f t="shared" si="2"/>
        <v>0.69166666666666665</v>
      </c>
      <c r="F5" s="61">
        <f t="shared" si="2"/>
        <v>0.72083333333333344</v>
      </c>
      <c r="G5" s="61">
        <f t="shared" si="2"/>
        <v>0.5541666666666667</v>
      </c>
      <c r="H5" s="61">
        <f t="shared" si="2"/>
        <v>0.77083333333333326</v>
      </c>
      <c r="I5" s="61">
        <f t="shared" si="2"/>
        <v>0.75416666666666665</v>
      </c>
      <c r="K5" s="7" t="s">
        <v>17</v>
      </c>
    </row>
    <row r="6" spans="1:11" ht="18" customHeight="1" x14ac:dyDescent="0.2">
      <c r="A6" s="20" t="str">
        <f>OVERALL!A6</f>
        <v>ENGAGE</v>
      </c>
      <c r="B6" s="21">
        <f>IF(C11=0,"-",AVERAGE(B7:B10))</f>
        <v>0.75</v>
      </c>
      <c r="C6" s="62" t="s">
        <v>0</v>
      </c>
      <c r="D6" s="28">
        <f>IF(D11=0,"-",(COUNTIF(D7:D10, "y")/D11)*OVERALL!$C$6)</f>
        <v>0.15000000000000002</v>
      </c>
      <c r="E6" s="28">
        <f>IF(E11=0,"-",(COUNTIF(E7:E10, "y")/E11)*OVERALL!$C$6)</f>
        <v>0.2</v>
      </c>
      <c r="F6" s="28">
        <f>IF(F11=0,"-",(COUNTIF(F7:F10, "y")/F11)*OVERALL!$C$6)</f>
        <v>0.15000000000000002</v>
      </c>
      <c r="G6" s="28">
        <f>IF(G11=0,"-",(COUNTIF(G7:G10, "y")/G11)*OVERALL!$C$6)</f>
        <v>0.15000000000000002</v>
      </c>
      <c r="H6" s="28">
        <f>IF(H11=0,"-",(COUNTIF(H7:H10, "y")/H11)*OVERALL!$C$6)</f>
        <v>0.1</v>
      </c>
      <c r="I6" s="28">
        <f>IF(I11=0,"-",(COUNTIF(I7:I10, "y")/I11)*OVERALL!$C$6)</f>
        <v>0.15000000000000002</v>
      </c>
    </row>
    <row r="7" spans="1:11" ht="18" customHeight="1" x14ac:dyDescent="0.2">
      <c r="A7" s="33" t="str">
        <f>OVERALL!A7</f>
        <v>WELCOME</v>
      </c>
      <c r="B7" s="3">
        <f>IF(C7=0,"-",COUNTIF(D7:I7,"y")/C7)</f>
        <v>1</v>
      </c>
      <c r="C7" s="26">
        <f>$C$2-COUNTIF(D7:I7, "-")</f>
        <v>6</v>
      </c>
      <c r="D7" s="297" t="s">
        <v>122</v>
      </c>
      <c r="E7" s="304" t="s">
        <v>122</v>
      </c>
      <c r="F7" s="293" t="s">
        <v>122</v>
      </c>
      <c r="G7" s="311" t="s">
        <v>122</v>
      </c>
      <c r="H7" s="305" t="s">
        <v>122</v>
      </c>
      <c r="I7" s="295" t="s">
        <v>122</v>
      </c>
      <c r="K7" s="11" t="s">
        <v>2</v>
      </c>
    </row>
    <row r="8" spans="1:11" ht="18" customHeight="1" x14ac:dyDescent="0.25">
      <c r="A8" s="33" t="str">
        <f>OVERALL!A8</f>
        <v>INTENT</v>
      </c>
      <c r="B8" s="3">
        <f>IF(C8=0,"-",COUNTIF(D8:I8,"y")/C8)</f>
        <v>1</v>
      </c>
      <c r="C8" s="26">
        <f>$C$2-COUNTIF(D8:I8, "-")</f>
        <v>6</v>
      </c>
      <c r="D8" s="297" t="s">
        <v>122</v>
      </c>
      <c r="E8" s="304" t="s">
        <v>122</v>
      </c>
      <c r="F8" s="293" t="s">
        <v>122</v>
      </c>
      <c r="G8" s="311" t="s">
        <v>122</v>
      </c>
      <c r="H8" s="305" t="s">
        <v>122</v>
      </c>
      <c r="I8" s="295" t="s">
        <v>122</v>
      </c>
      <c r="K8" s="7" t="s">
        <v>16</v>
      </c>
    </row>
    <row r="9" spans="1:11" ht="18" customHeight="1" x14ac:dyDescent="0.2">
      <c r="A9" s="33" t="str">
        <f>OVERALL!A9</f>
        <v>NAME</v>
      </c>
      <c r="B9" s="3">
        <f>IF(C9=0,"-",COUNTIF(D9:I9,"y")/C9)</f>
        <v>0.83333333333333337</v>
      </c>
      <c r="C9" s="26">
        <f>$C$2-COUNTIF(D9:I9, "-")</f>
        <v>6</v>
      </c>
      <c r="D9" s="297" t="s">
        <v>122</v>
      </c>
      <c r="E9" s="304" t="s">
        <v>122</v>
      </c>
      <c r="F9" s="293" t="s">
        <v>122</v>
      </c>
      <c r="G9" s="311" t="s">
        <v>122</v>
      </c>
      <c r="H9" s="305" t="s">
        <v>121</v>
      </c>
      <c r="I9" s="295" t="s">
        <v>122</v>
      </c>
      <c r="K9" t="s">
        <v>1</v>
      </c>
    </row>
    <row r="10" spans="1:11" ht="18" customHeight="1" x14ac:dyDescent="0.2">
      <c r="A10" s="33" t="str">
        <f>OVERALL!A10</f>
        <v>BRIDGE</v>
      </c>
      <c r="B10" s="3">
        <f>IF(C10=0,"-",COUNTIF(D10:I10,"y")/C10)</f>
        <v>0.16666666666666666</v>
      </c>
      <c r="C10" s="26">
        <f>$C$2-COUNTIF(D10:I10, "-")</f>
        <v>6</v>
      </c>
      <c r="D10" s="297" t="s">
        <v>121</v>
      </c>
      <c r="E10" s="304" t="s">
        <v>122</v>
      </c>
      <c r="F10" s="293" t="s">
        <v>121</v>
      </c>
      <c r="G10" s="311" t="s">
        <v>121</v>
      </c>
      <c r="H10" s="305" t="s">
        <v>121</v>
      </c>
      <c r="I10" s="295"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0.5</v>
      </c>
      <c r="C12" s="1" t="s">
        <v>1</v>
      </c>
      <c r="D12" s="28">
        <f>IF(D16=0,"-",(COUNTIF(D13:D15, "y")/D16)*OVERALL!$C$12)</f>
        <v>0.13333333333333333</v>
      </c>
      <c r="E12" s="28">
        <f>IF(E16=0,"-",(COUNTIF(E13:E15, "y")/E16)*OVERALL!$C$12)</f>
        <v>6.6666666666666666E-2</v>
      </c>
      <c r="F12" s="28">
        <f>IF(F16=0,"-",(COUNTIF(F13:F15, "y")/F16)*OVERALL!$C$12)</f>
        <v>0.13333333333333333</v>
      </c>
      <c r="G12" s="28">
        <f>IF(G16=0,"-",(COUNTIF(G13:G15, "y")/G16)*OVERALL!$C$12)</f>
        <v>6.6666666666666666E-2</v>
      </c>
      <c r="H12" s="28">
        <f>IF(H16=0,"-",(COUNTIF(H13:H15, "y")/H16)*OVERALL!$C$12)</f>
        <v>0.13333333333333333</v>
      </c>
      <c r="I12" s="28">
        <f>IF(I16=0,"-",(COUNTIF(I13:I15, "y")/I16)*OVERALL!$C$12)</f>
        <v>6.6666666666666666E-2</v>
      </c>
      <c r="K12" t="s">
        <v>1</v>
      </c>
    </row>
    <row r="13" spans="1:11" ht="18" customHeight="1" x14ac:dyDescent="0.2">
      <c r="A13" s="33" t="str">
        <f>OVERALL!A13</f>
        <v>CONVERSE</v>
      </c>
      <c r="B13" s="3">
        <f>IF(C13=0,"-",COUNTIF(D13:I13,"y")/C13)</f>
        <v>0</v>
      </c>
      <c r="C13" s="26">
        <f>$C$2-COUNTIF(D13:I13, "-")</f>
        <v>6</v>
      </c>
      <c r="D13" s="297" t="s">
        <v>121</v>
      </c>
      <c r="E13" s="304" t="s">
        <v>121</v>
      </c>
      <c r="F13" s="293" t="s">
        <v>121</v>
      </c>
      <c r="G13" s="311" t="s">
        <v>121</v>
      </c>
      <c r="H13" s="305" t="s">
        <v>121</v>
      </c>
      <c r="I13" s="295" t="s">
        <v>121</v>
      </c>
      <c r="K13" s="14" t="s">
        <v>4</v>
      </c>
    </row>
    <row r="14" spans="1:11" ht="18" customHeight="1" x14ac:dyDescent="0.25">
      <c r="A14" s="33" t="str">
        <f>OVERALL!A14</f>
        <v>LISTEN</v>
      </c>
      <c r="B14" s="3">
        <f>IF(C14=0,"-",COUNTIF(D14:I14,"y")/C14)</f>
        <v>1</v>
      </c>
      <c r="C14" s="26">
        <f>$C$2-COUNTIF(D14:I14, "-")</f>
        <v>6</v>
      </c>
      <c r="D14" s="297" t="s">
        <v>122</v>
      </c>
      <c r="E14" s="304" t="s">
        <v>122</v>
      </c>
      <c r="F14" s="293" t="s">
        <v>122</v>
      </c>
      <c r="G14" s="311" t="s">
        <v>122</v>
      </c>
      <c r="H14" s="305" t="s">
        <v>122</v>
      </c>
      <c r="I14" s="295" t="s">
        <v>122</v>
      </c>
      <c r="K14" s="9" t="s">
        <v>14</v>
      </c>
    </row>
    <row r="15" spans="1:11" ht="18" customHeight="1" x14ac:dyDescent="0.2">
      <c r="A15" s="33" t="str">
        <f>OVERALL!A15</f>
        <v>CONFIRM</v>
      </c>
      <c r="B15" s="3">
        <f>IF(C15=0,"-",COUNTIF(D15:I15,"y")/C15)</f>
        <v>0.5</v>
      </c>
      <c r="C15" s="26">
        <f>$C$2-COUNTIF(D15:I15, "-")</f>
        <v>6</v>
      </c>
      <c r="D15" s="297" t="s">
        <v>122</v>
      </c>
      <c r="E15" s="304" t="s">
        <v>121</v>
      </c>
      <c r="F15" s="293" t="s">
        <v>122</v>
      </c>
      <c r="G15" s="311" t="s">
        <v>121</v>
      </c>
      <c r="H15" s="305" t="s">
        <v>122</v>
      </c>
      <c r="I15" s="295" t="s">
        <v>121</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0.70833333333333326</v>
      </c>
      <c r="C17" s="1" t="s">
        <v>1</v>
      </c>
      <c r="D17" s="29">
        <f>IF(D22=0,"-",(COUNTIF(D18:D21, "y")/D22)*OVERALL!$C$17)</f>
        <v>0.1875</v>
      </c>
      <c r="E17" s="29">
        <f>IF(E22=0,"-",(COUNTIF(E18:E21, "y")/E22)*OVERALL!$C$17)</f>
        <v>0.125</v>
      </c>
      <c r="F17" s="29">
        <f>IF(F22=0,"-",(COUNTIF(F18:F21, "y")/F22)*OVERALL!$C$17)</f>
        <v>0.1875</v>
      </c>
      <c r="G17" s="29">
        <f>IF(G22=0,"-",(COUNTIF(G18:G21, "y")/G22)*OVERALL!$C$17)</f>
        <v>0.1875</v>
      </c>
      <c r="H17" s="29">
        <f>IF(H22=0,"-",(COUNTIF(H18:H21, "y")/H22)*OVERALL!$C$17)</f>
        <v>0.1875</v>
      </c>
      <c r="I17" s="29">
        <f>IF(I22=0,"-",(COUNTIF(I18:I21, "y")/I22)*OVERALL!$C$17)</f>
        <v>0.1875</v>
      </c>
      <c r="K17" s="9" t="s">
        <v>6</v>
      </c>
    </row>
    <row r="18" spans="1:14" ht="18" customHeight="1" x14ac:dyDescent="0.2">
      <c r="A18" s="33" t="str">
        <f>OVERALL!A18</f>
        <v>INFORM</v>
      </c>
      <c r="B18" s="3">
        <f>IF(C18=0,"-",COUNTIF(D18:I18,"y")/C18)</f>
        <v>0.66666666666666663</v>
      </c>
      <c r="C18" s="26">
        <f>$C$2-COUNTIF(D18:I18, "-")</f>
        <v>6</v>
      </c>
      <c r="D18" s="297" t="s">
        <v>122</v>
      </c>
      <c r="E18" s="304" t="s">
        <v>121</v>
      </c>
      <c r="F18" s="293" t="s">
        <v>122</v>
      </c>
      <c r="G18" s="311" t="s">
        <v>121</v>
      </c>
      <c r="H18" s="305" t="s">
        <v>122</v>
      </c>
      <c r="I18" s="295" t="s">
        <v>122</v>
      </c>
    </row>
    <row r="19" spans="1:14" ht="18" customHeight="1" x14ac:dyDescent="0.2">
      <c r="A19" s="33" t="str">
        <f>OVERALL!A19</f>
        <v>CHECK</v>
      </c>
      <c r="B19" s="3">
        <f>IF(C19=0,"-",COUNTIF(D19:I19,"y")/C19)</f>
        <v>0.16666666666666666</v>
      </c>
      <c r="C19" s="26">
        <f>$C$2-COUNTIF(D19:I19, "-")</f>
        <v>6</v>
      </c>
      <c r="D19" s="297" t="s">
        <v>121</v>
      </c>
      <c r="E19" s="304" t="s">
        <v>121</v>
      </c>
      <c r="F19" s="293" t="s">
        <v>121</v>
      </c>
      <c r="G19" s="311" t="s">
        <v>122</v>
      </c>
      <c r="H19" s="305" t="s">
        <v>121</v>
      </c>
      <c r="I19" s="295" t="s">
        <v>121</v>
      </c>
    </row>
    <row r="20" spans="1:14" ht="18" customHeight="1" x14ac:dyDescent="0.2">
      <c r="A20" s="33" t="str">
        <f>OVERALL!A20</f>
        <v>SEEK</v>
      </c>
      <c r="B20" s="3">
        <f>IF(C20=0,"-",COUNTIF(D20:I20,"y")/C20)</f>
        <v>1</v>
      </c>
      <c r="C20" s="26">
        <f>$C$2-COUNTIF(D20:I20, "-")</f>
        <v>6</v>
      </c>
      <c r="D20" s="297" t="s">
        <v>122</v>
      </c>
      <c r="E20" s="304" t="s">
        <v>122</v>
      </c>
      <c r="F20" s="293" t="s">
        <v>122</v>
      </c>
      <c r="G20" s="311" t="s">
        <v>122</v>
      </c>
      <c r="H20" s="305" t="s">
        <v>122</v>
      </c>
      <c r="I20" s="295" t="s">
        <v>122</v>
      </c>
      <c r="K20" t="s">
        <v>1</v>
      </c>
    </row>
    <row r="21" spans="1:14" ht="18" customHeight="1" x14ac:dyDescent="0.2">
      <c r="A21" s="33" t="str">
        <f>OVERALL!A21</f>
        <v>CONFIDENCE</v>
      </c>
      <c r="B21" s="3">
        <f>IF(C21=0,"-",COUNTIF(D21:I21,"y")/C21)</f>
        <v>1</v>
      </c>
      <c r="C21" s="26">
        <f>$C$2-COUNTIF(D21:I21, "-")</f>
        <v>6</v>
      </c>
      <c r="D21" s="297" t="s">
        <v>122</v>
      </c>
      <c r="E21" s="304" t="s">
        <v>122</v>
      </c>
      <c r="F21" s="293" t="s">
        <v>122</v>
      </c>
      <c r="G21" s="311" t="s">
        <v>122</v>
      </c>
      <c r="H21" s="305" t="s">
        <v>122</v>
      </c>
      <c r="I21" s="295"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4.9999999999999996E-2</v>
      </c>
      <c r="G23" s="29">
        <f>IF(G27=0,"-",(COUNTIF(G24:G26, "y")/G27)*OVERALL!$C$23)</f>
        <v>4.9999999999999996E-2</v>
      </c>
      <c r="H23" s="29">
        <f>IF(H27=0,"-",(COUNTIF(H24:H26, "y")/H27)*OVERALL!$C$23)</f>
        <v>0.15</v>
      </c>
      <c r="I23" s="29">
        <f>IF(I27=0,"-",(COUNTIF(I24:I26, "y")/I27)*OVERALL!$C$23)</f>
        <v>0.15</v>
      </c>
    </row>
    <row r="24" spans="1:14" ht="18" customHeight="1" x14ac:dyDescent="0.2">
      <c r="A24" s="33" t="str">
        <f>OVERALL!A24</f>
        <v>QUESTIONS</v>
      </c>
      <c r="B24" s="3">
        <f>IF(C24=0,"-",COUNTIF(D24:I24,"y")/C24)</f>
        <v>0.5</v>
      </c>
      <c r="C24" s="26">
        <f>$C$2-COUNTIF(D24:I24, "-")</f>
        <v>6</v>
      </c>
      <c r="D24" s="297" t="s">
        <v>122</v>
      </c>
      <c r="E24" s="304" t="s">
        <v>121</v>
      </c>
      <c r="F24" s="293" t="s">
        <v>121</v>
      </c>
      <c r="G24" s="311" t="s">
        <v>121</v>
      </c>
      <c r="H24" s="305" t="s">
        <v>122</v>
      </c>
      <c r="I24" s="295" t="s">
        <v>122</v>
      </c>
    </row>
    <row r="25" spans="1:14" ht="18" customHeight="1" x14ac:dyDescent="0.2">
      <c r="A25" s="33" t="str">
        <f>OVERALL!A25</f>
        <v>GRATITUDE</v>
      </c>
      <c r="B25" s="3">
        <f>IF(C25=0,"-",COUNTIF(D25:I25,"y")/C25)</f>
        <v>0.5</v>
      </c>
      <c r="C25" s="26">
        <f>$C$2-COUNTIF(D25:I25, "-")</f>
        <v>6</v>
      </c>
      <c r="D25" s="297" t="s">
        <v>121</v>
      </c>
      <c r="E25" s="304" t="s">
        <v>122</v>
      </c>
      <c r="F25" s="293" t="s">
        <v>121</v>
      </c>
      <c r="G25" s="311" t="s">
        <v>121</v>
      </c>
      <c r="H25" s="305" t="s">
        <v>122</v>
      </c>
      <c r="I25" s="295" t="s">
        <v>122</v>
      </c>
    </row>
    <row r="26" spans="1:14" ht="18" customHeight="1" x14ac:dyDescent="0.2">
      <c r="A26" s="33" t="str">
        <f>OVERALL!A26</f>
        <v>THANKS</v>
      </c>
      <c r="B26" s="3">
        <f>IF(C26=0,"-",COUNTIF(D26:I26,"y")/C26)</f>
        <v>1</v>
      </c>
      <c r="C26" s="26">
        <f>$C$2-COUNTIF(D26:I26, "-")</f>
        <v>6</v>
      </c>
      <c r="D26" s="297" t="s">
        <v>122</v>
      </c>
      <c r="E26" s="304" t="s">
        <v>122</v>
      </c>
      <c r="F26" s="293" t="s">
        <v>122</v>
      </c>
      <c r="G26" s="311" t="s">
        <v>122</v>
      </c>
      <c r="H26" s="305" t="s">
        <v>122</v>
      </c>
      <c r="I26" s="295"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0.79166666666666674</v>
      </c>
      <c r="C28" s="1" t="s">
        <v>1</v>
      </c>
      <c r="D28" s="29">
        <f>IF(D33=0,"-",(COUNTIF(D29:D32, "y")/D33)*OVERALL!$C$28)</f>
        <v>0.05</v>
      </c>
      <c r="E28" s="29">
        <f>IF(E33=0,"-",(COUNTIF(E29:E32, "y")/E33)*OVERALL!$C$28)</f>
        <v>0.2</v>
      </c>
      <c r="F28" s="29">
        <f>IF(F33=0,"-",(COUNTIF(F29:F32, "y")/F33)*OVERALL!$C$28)</f>
        <v>0.2</v>
      </c>
      <c r="G28" s="29">
        <f>IF(G33=0,"-",(COUNTIF(G29:G32, "y")/G33)*OVERALL!$C$28)</f>
        <v>0.1</v>
      </c>
      <c r="H28" s="29">
        <f>IF(H33=0,"-",(COUNTIF(H29:H32, "y")/H33)*OVERALL!$C$28)</f>
        <v>0.2</v>
      </c>
      <c r="I28" s="29">
        <f>IF(I33=0,"-",(COUNTIF(I29:I32, "y")/I33)*OVERALL!$C$28)</f>
        <v>0.2</v>
      </c>
    </row>
    <row r="29" spans="1:14" ht="18" customHeight="1" x14ac:dyDescent="0.2">
      <c r="A29" s="33" t="str">
        <f>OVERALL!A29</f>
        <v>VIBRANCY</v>
      </c>
      <c r="B29" s="3">
        <f>IF(C29=0,"-",COUNTIF(D29:I29,"y")/C29)</f>
        <v>0.83333333333333337</v>
      </c>
      <c r="C29" s="26">
        <f>$C$2-COUNTIF(D29:I29, "-")</f>
        <v>6</v>
      </c>
      <c r="D29" s="297" t="s">
        <v>122</v>
      </c>
      <c r="E29" s="304" t="s">
        <v>122</v>
      </c>
      <c r="F29" s="293" t="s">
        <v>122</v>
      </c>
      <c r="G29" s="311" t="s">
        <v>121</v>
      </c>
      <c r="H29" s="305" t="s">
        <v>122</v>
      </c>
      <c r="I29" s="295" t="s">
        <v>122</v>
      </c>
    </row>
    <row r="30" spans="1:14" ht="18" customHeight="1" x14ac:dyDescent="0.2">
      <c r="A30" s="33" t="str">
        <f>OVERALL!A30</f>
        <v>EMPATHY</v>
      </c>
      <c r="B30" s="3">
        <f>IF(C30=0,"-",COUNTIF(D30:I30,"y")/C30)</f>
        <v>0.66666666666666663</v>
      </c>
      <c r="C30" s="26">
        <f>$C$2-COUNTIF(D30:I30, "-")</f>
        <v>6</v>
      </c>
      <c r="D30" s="297" t="s">
        <v>121</v>
      </c>
      <c r="E30" s="304" t="s">
        <v>122</v>
      </c>
      <c r="F30" s="293" t="s">
        <v>122</v>
      </c>
      <c r="G30" s="311" t="s">
        <v>121</v>
      </c>
      <c r="H30" s="305" t="s">
        <v>122</v>
      </c>
      <c r="I30" s="295" t="s">
        <v>122</v>
      </c>
    </row>
    <row r="31" spans="1:14" ht="18" customHeight="1" x14ac:dyDescent="0.2">
      <c r="A31" s="33" t="str">
        <f>OVERALL!A31</f>
        <v>CONTROL</v>
      </c>
      <c r="B31" s="3">
        <f>IF(C31=0,"-",COUNTIF(D31:I31,"y")/C31)</f>
        <v>0.83333333333333337</v>
      </c>
      <c r="C31" s="26">
        <f>$C$2-COUNTIF(D31:I31, "-")</f>
        <v>6</v>
      </c>
      <c r="D31" s="297" t="s">
        <v>121</v>
      </c>
      <c r="E31" s="304" t="s">
        <v>122</v>
      </c>
      <c r="F31" s="293" t="s">
        <v>122</v>
      </c>
      <c r="G31" s="311" t="s">
        <v>122</v>
      </c>
      <c r="H31" s="305" t="s">
        <v>122</v>
      </c>
      <c r="I31" s="295" t="s">
        <v>122</v>
      </c>
    </row>
    <row r="32" spans="1:14" ht="18" customHeight="1" x14ac:dyDescent="0.2">
      <c r="A32" s="33" t="str">
        <f>OVERALL!A32</f>
        <v>CLARITY</v>
      </c>
      <c r="B32" s="3">
        <f>IF(C32=0,"-",COUNTIF(D32:I32,"y")/C32)</f>
        <v>0.83333333333333337</v>
      </c>
      <c r="C32" s="26">
        <f>$C$2-COUNTIF(D32:I32, "-")</f>
        <v>6</v>
      </c>
      <c r="D32" s="297" t="s">
        <v>121</v>
      </c>
      <c r="E32" s="304" t="s">
        <v>122</v>
      </c>
      <c r="F32" s="293" t="s">
        <v>122</v>
      </c>
      <c r="G32" s="311" t="s">
        <v>122</v>
      </c>
      <c r="H32" s="305" t="s">
        <v>122</v>
      </c>
      <c r="I32" s="295" t="s">
        <v>122</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7" t="s">
        <v>121</v>
      </c>
      <c r="E35" s="304" t="s">
        <v>121</v>
      </c>
      <c r="F35" s="293" t="s">
        <v>121</v>
      </c>
      <c r="G35" s="311" t="s">
        <v>121</v>
      </c>
      <c r="H35" s="305" t="s">
        <v>121</v>
      </c>
      <c r="I35" s="295" t="s">
        <v>121</v>
      </c>
      <c r="K35" s="48">
        <v>-0.3</v>
      </c>
      <c r="M35" s="48"/>
      <c r="N35" s="48"/>
      <c r="O35" s="48"/>
    </row>
    <row r="36" spans="1:16" ht="18" customHeight="1" x14ac:dyDescent="0.2">
      <c r="A36" s="45" t="str">
        <f>OVERALL!A36</f>
        <v>AUDIO ISSUE (DISTRACTION)</v>
      </c>
      <c r="B36" s="3">
        <f>IF(C36=0,"-",COUNTIF(D36:I36,"y")/C36)</f>
        <v>0</v>
      </c>
      <c r="C36" s="26">
        <f>$C$2-COUNTIF(D36:I36, "-")</f>
        <v>6</v>
      </c>
      <c r="D36" s="297" t="s">
        <v>121</v>
      </c>
      <c r="E36" s="304" t="s">
        <v>121</v>
      </c>
      <c r="F36" s="293" t="s">
        <v>121</v>
      </c>
      <c r="G36" s="311" t="s">
        <v>121</v>
      </c>
      <c r="H36" s="305" t="s">
        <v>121</v>
      </c>
      <c r="I36" s="295"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3" t="str">
        <f>OVERALL!A38</f>
        <v>ADDITIONAL INSIGHT</v>
      </c>
      <c r="B38" s="354"/>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7" t="s">
        <v>122</v>
      </c>
      <c r="E39" s="304" t="s">
        <v>122</v>
      </c>
      <c r="F39" s="293" t="s">
        <v>122</v>
      </c>
      <c r="G39" s="311" t="s">
        <v>122</v>
      </c>
      <c r="H39" s="305" t="s">
        <v>122</v>
      </c>
      <c r="I39" s="295" t="s">
        <v>122</v>
      </c>
    </row>
    <row r="40" spans="1:16" ht="18" customHeight="1" x14ac:dyDescent="0.2">
      <c r="A40" s="33" t="str">
        <f>OVERALL!A40</f>
        <v>TALK TIME</v>
      </c>
      <c r="B40" s="283">
        <f>IF(C40=0,"-",AVERAGE(D40:I40))</f>
        <v>3.7943672839506177E-3</v>
      </c>
      <c r="C40" s="26">
        <f t="shared" si="10"/>
        <v>6</v>
      </c>
      <c r="D40" s="287">
        <v>3.9930555555555552E-3</v>
      </c>
      <c r="E40" s="287">
        <v>2.662037037037037E-3</v>
      </c>
      <c r="F40" s="287">
        <v>4.2592592592592595E-3</v>
      </c>
      <c r="G40" s="287">
        <v>3.5763888888888889E-3</v>
      </c>
      <c r="H40" s="287">
        <v>2.8703703703703703E-3</v>
      </c>
      <c r="I40" s="287">
        <v>5.4050925925925924E-3</v>
      </c>
      <c r="J40" s="46"/>
      <c r="K40" s="267"/>
      <c r="L40" s="267"/>
      <c r="M40" s="267"/>
      <c r="N40" s="267"/>
      <c r="O40" s="267"/>
      <c r="P40" s="267"/>
    </row>
    <row r="41" spans="1:16" ht="18" customHeight="1" x14ac:dyDescent="0.2">
      <c r="A41" s="33" t="str">
        <f>OVERALL!A41</f>
        <v>ASSESSOR RATING (0-10)</v>
      </c>
      <c r="B41" s="289">
        <f>IF(C41=0,"-",SUM(D41:I41)/C41)</f>
        <v>6.166666666666667</v>
      </c>
      <c r="C41" s="26">
        <f t="shared" si="10"/>
        <v>6</v>
      </c>
      <c r="D41" s="291">
        <v>6</v>
      </c>
      <c r="E41" s="291">
        <v>6</v>
      </c>
      <c r="F41" s="291">
        <v>6</v>
      </c>
      <c r="G41" s="291">
        <v>5</v>
      </c>
      <c r="H41" s="291">
        <v>7</v>
      </c>
      <c r="I41" s="291">
        <v>7</v>
      </c>
    </row>
    <row r="42" spans="1:16" ht="18" customHeight="1" x14ac:dyDescent="0.2">
      <c r="A42" s="33" t="str">
        <f>OVERALL!A42</f>
        <v>EXPLAINED KEY FEATURES</v>
      </c>
      <c r="B42" s="3">
        <f>IF(C42=0,"-",COUNTIF(D42:I42, "y")/C42)</f>
        <v>0.4</v>
      </c>
      <c r="C42" s="26">
        <f t="shared" si="10"/>
        <v>5</v>
      </c>
      <c r="D42" s="297" t="s">
        <v>121</v>
      </c>
      <c r="E42" s="304" t="s">
        <v>121</v>
      </c>
      <c r="F42" s="293" t="s">
        <v>122</v>
      </c>
      <c r="G42" s="311" t="s">
        <v>121</v>
      </c>
      <c r="H42" s="305" t="s">
        <v>78</v>
      </c>
      <c r="I42" s="295" t="s">
        <v>122</v>
      </c>
      <c r="J42" s="47"/>
      <c r="K42" t="s">
        <v>1</v>
      </c>
    </row>
    <row r="43" spans="1:16" ht="18" customHeight="1" x14ac:dyDescent="0.2">
      <c r="A43" s="33" t="str">
        <f>OVERALL!A43</f>
        <v>REVEALED PRICING</v>
      </c>
      <c r="B43" s="3">
        <f>IF(C43=0,"-",COUNTIF(D43:I43, "y")/C43)</f>
        <v>0.8</v>
      </c>
      <c r="C43" s="26">
        <f t="shared" si="10"/>
        <v>5</v>
      </c>
      <c r="D43" s="297" t="s">
        <v>122</v>
      </c>
      <c r="E43" s="304" t="s">
        <v>121</v>
      </c>
      <c r="F43" s="293" t="s">
        <v>122</v>
      </c>
      <c r="G43" s="311" t="s">
        <v>122</v>
      </c>
      <c r="H43" s="305" t="s">
        <v>78</v>
      </c>
      <c r="I43" s="295" t="s">
        <v>122</v>
      </c>
    </row>
    <row r="44" spans="1:16" ht="18" customHeight="1" x14ac:dyDescent="0.2">
      <c r="A44" s="33" t="str">
        <f>OVERALL!A44</f>
        <v>EXPLAINED ACTIONS &amp; PROCESS</v>
      </c>
      <c r="B44" s="3">
        <f>IF(C44=0,"-",COUNTIF(D44:I44, "y")/C44)</f>
        <v>0.66666666666666663</v>
      </c>
      <c r="C44" s="26">
        <f t="shared" si="10"/>
        <v>6</v>
      </c>
      <c r="D44" s="297" t="s">
        <v>122</v>
      </c>
      <c r="E44" s="304" t="s">
        <v>122</v>
      </c>
      <c r="F44" s="293" t="s">
        <v>121</v>
      </c>
      <c r="G44" s="311" t="s">
        <v>122</v>
      </c>
      <c r="H44" s="305" t="s">
        <v>122</v>
      </c>
      <c r="I44" s="295" t="s">
        <v>121</v>
      </c>
    </row>
    <row r="45" spans="1:16" ht="18" customHeight="1" x14ac:dyDescent="0.2">
      <c r="A45" s="33" t="str">
        <f>OVERALL!A45</f>
        <v>WEBSITE EDUCATION</v>
      </c>
      <c r="B45" s="3">
        <f>IF(C45=0,"-",COUNTIF(D45:I45, "y")/C45)</f>
        <v>0</v>
      </c>
      <c r="C45" s="26">
        <f t="shared" si="10"/>
        <v>5</v>
      </c>
      <c r="D45" s="297" t="s">
        <v>121</v>
      </c>
      <c r="E45" s="304" t="s">
        <v>121</v>
      </c>
      <c r="F45" s="293" t="s">
        <v>121</v>
      </c>
      <c r="G45" s="311" t="s">
        <v>121</v>
      </c>
      <c r="H45" s="305" t="s">
        <v>78</v>
      </c>
      <c r="I45" s="295" t="s">
        <v>121</v>
      </c>
    </row>
    <row r="46" spans="1:16" ht="18" customHeight="1" x14ac:dyDescent="0.2">
      <c r="A46" s="18"/>
      <c r="B46" s="3"/>
      <c r="C46" s="26"/>
      <c r="D46" s="265"/>
      <c r="E46" s="265"/>
      <c r="F46" s="265"/>
      <c r="G46" s="265"/>
      <c r="H46" s="265"/>
      <c r="I46" s="265"/>
    </row>
    <row r="47" spans="1:16" ht="240" x14ac:dyDescent="0.2">
      <c r="A47" s="25" t="s">
        <v>1</v>
      </c>
      <c r="B47" s="355" t="s">
        <v>36</v>
      </c>
      <c r="C47" s="356"/>
      <c r="D47" s="23" t="s">
        <v>151</v>
      </c>
      <c r="E47" s="23" t="s">
        <v>160</v>
      </c>
      <c r="F47" s="23" t="s">
        <v>127</v>
      </c>
      <c r="G47" s="23" t="s">
        <v>193</v>
      </c>
      <c r="H47" s="23" t="s">
        <v>169</v>
      </c>
      <c r="I47" s="23" t="s">
        <v>140</v>
      </c>
    </row>
    <row r="48" spans="1:16" ht="18" customHeight="1" x14ac:dyDescent="0.2">
      <c r="A48" s="60" t="s">
        <v>48</v>
      </c>
      <c r="D48" s="51">
        <f t="shared" ref="D48:I48" si="11">IF(D$2="","",IF(D$39="n", "", SUM(D$6,D$12,D$17,D$23,D$28,D$34)))</f>
        <v>0.62083333333333335</v>
      </c>
      <c r="E48" s="51">
        <f t="shared" si="11"/>
        <v>0.69166666666666665</v>
      </c>
      <c r="F48" s="51">
        <f t="shared" si="11"/>
        <v>0.72083333333333344</v>
      </c>
      <c r="G48" s="51">
        <f t="shared" si="11"/>
        <v>0.5541666666666667</v>
      </c>
      <c r="H48" s="51">
        <f t="shared" si="11"/>
        <v>0.77083333333333326</v>
      </c>
      <c r="I48" s="51">
        <f t="shared" si="11"/>
        <v>0.75416666666666665</v>
      </c>
    </row>
    <row r="50" spans="1:9" ht="19" x14ac:dyDescent="0.25">
      <c r="A50" s="111" t="s">
        <v>75</v>
      </c>
      <c r="B50" s="91" t="s">
        <v>76</v>
      </c>
    </row>
    <row r="51" spans="1:9" x14ac:dyDescent="0.2">
      <c r="A51" s="112" t="s">
        <v>64</v>
      </c>
      <c r="B51" s="113">
        <v>0.3</v>
      </c>
      <c r="C51" s="112"/>
      <c r="D51" s="257">
        <f>'[1]ENERGY AUSTRALIA'!D$4</f>
        <v>0.39392857142857146</v>
      </c>
      <c r="E51" s="257">
        <f>'[1]ENERGY AUSTRALIA'!E$4</f>
        <v>0.51833333333333331</v>
      </c>
      <c r="F51" s="257">
        <f>'[1]ENERGY AUSTRALIA'!F$4</f>
        <v>0.59125000000000005</v>
      </c>
      <c r="G51" s="257">
        <f>'[1]ENERGY AUSTRALIA'!G$4</f>
        <v>0.62250000000000005</v>
      </c>
      <c r="H51" s="257">
        <f>'[1]ENERGY AUSTRALIA'!H$4</f>
        <v>0.51089285714285715</v>
      </c>
      <c r="I51" s="257">
        <f>'[1]ENERGY AUSTRALIA'!I$4</f>
        <v>0.62250000000000005</v>
      </c>
    </row>
    <row r="52" spans="1:9" x14ac:dyDescent="0.2">
      <c r="A52" s="112" t="s">
        <v>65</v>
      </c>
      <c r="B52" s="113">
        <v>0.7</v>
      </c>
      <c r="C52" s="112"/>
      <c r="D52" s="258">
        <f t="shared" ref="D52:I52" si="12">D4</f>
        <v>0.62083333333333335</v>
      </c>
      <c r="E52" s="258">
        <f t="shared" si="12"/>
        <v>0.69166666666666665</v>
      </c>
      <c r="F52" s="258">
        <f t="shared" si="12"/>
        <v>0.72083333333333344</v>
      </c>
      <c r="G52" s="258">
        <f t="shared" si="12"/>
        <v>0.5541666666666667</v>
      </c>
      <c r="H52" s="258">
        <f t="shared" si="12"/>
        <v>0.77083333333333326</v>
      </c>
      <c r="I52" s="258">
        <f t="shared" si="12"/>
        <v>0.75416666666666665</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0.11817857142857144</v>
      </c>
      <c r="E55" s="258">
        <f t="shared" ref="E55:I55" si="13">IF(E51="-","-",E51*$B$51)</f>
        <v>0.1555</v>
      </c>
      <c r="F55" s="258">
        <f t="shared" si="13"/>
        <v>0.177375</v>
      </c>
      <c r="G55" s="258">
        <f t="shared" si="13"/>
        <v>0.18675</v>
      </c>
      <c r="H55" s="258">
        <f t="shared" si="13"/>
        <v>0.15326785714285715</v>
      </c>
      <c r="I55" s="258">
        <f t="shared" si="13"/>
        <v>0.18675</v>
      </c>
    </row>
    <row r="56" spans="1:9" x14ac:dyDescent="0.2">
      <c r="A56" s="112" t="s">
        <v>65</v>
      </c>
      <c r="B56" s="112"/>
      <c r="C56" s="112"/>
      <c r="D56" s="258">
        <f t="shared" ref="D56:I56" si="14">IF(D52="-","-",D52*$B$52)</f>
        <v>0.43458333333333332</v>
      </c>
      <c r="E56" s="258">
        <f t="shared" si="14"/>
        <v>0.48416666666666663</v>
      </c>
      <c r="F56" s="258">
        <f t="shared" si="14"/>
        <v>0.50458333333333338</v>
      </c>
      <c r="G56" s="258">
        <f t="shared" si="14"/>
        <v>0.38791666666666669</v>
      </c>
      <c r="H56" s="258">
        <f t="shared" si="14"/>
        <v>0.53958333333333319</v>
      </c>
      <c r="I56" s="258">
        <f t="shared" si="14"/>
        <v>0.52791666666666659</v>
      </c>
    </row>
    <row r="57" spans="1:9" x14ac:dyDescent="0.2">
      <c r="A57" s="115" t="s">
        <v>60</v>
      </c>
      <c r="B57" s="115"/>
      <c r="C57" s="115"/>
      <c r="D57" s="116">
        <f t="shared" ref="D57:I57" si="15">IF(D51="","",IF(D52="","",SUM(D55:D56)))</f>
        <v>0.55276190476190479</v>
      </c>
      <c r="E57" s="116">
        <f t="shared" si="15"/>
        <v>0.63966666666666661</v>
      </c>
      <c r="F57" s="116">
        <f t="shared" si="15"/>
        <v>0.68195833333333344</v>
      </c>
      <c r="G57" s="116">
        <f t="shared" si="15"/>
        <v>0.57466666666666666</v>
      </c>
      <c r="H57" s="116">
        <f t="shared" si="15"/>
        <v>0.69285119047619037</v>
      </c>
      <c r="I57" s="116">
        <f t="shared" si="15"/>
        <v>0.71466666666666656</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47" activePane="bottomRight" state="frozen"/>
      <selection activeCell="G47" sqref="G47"/>
      <selection pane="topRight" activeCell="G47" sqref="G47"/>
      <selection pane="bottomLeft" activeCell="G47" sqref="G47"/>
      <selection pane="bottomRight" activeCell="H51" sqref="H5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8" t="s">
        <v>78</v>
      </c>
      <c r="E2" s="303" t="s">
        <v>163</v>
      </c>
      <c r="F2" s="294" t="s">
        <v>123</v>
      </c>
      <c r="G2" s="312" t="s">
        <v>188</v>
      </c>
      <c r="H2" s="306" t="s">
        <v>172</v>
      </c>
      <c r="I2" s="296" t="s">
        <v>141</v>
      </c>
    </row>
    <row r="3" spans="1:11" ht="19" x14ac:dyDescent="0.2">
      <c r="A3" s="32" t="str">
        <f>OVERALL!G1</f>
        <v>ORIGIN</v>
      </c>
      <c r="B3" s="249">
        <f>OVERALL!G3</f>
        <v>0.42071428571428571</v>
      </c>
      <c r="C3" s="109" t="s">
        <v>74</v>
      </c>
      <c r="D3" s="110" t="str">
        <f>IF(D2="-","-",D57)</f>
        <v>-</v>
      </c>
      <c r="E3" s="110">
        <f t="shared" ref="E3:I3" si="0">IF(E2="-","-",E57)</f>
        <v>0.48327380952380949</v>
      </c>
      <c r="F3" s="110">
        <f t="shared" si="0"/>
        <v>0.62327380952380951</v>
      </c>
      <c r="G3" s="110">
        <f t="shared" si="0"/>
        <v>0.42139880952380954</v>
      </c>
      <c r="H3" s="110">
        <f t="shared" si="0"/>
        <v>0.26098214285714288</v>
      </c>
      <c r="I3" s="110">
        <f t="shared" si="0"/>
        <v>0.46166666666666667</v>
      </c>
    </row>
    <row r="4" spans="1:11" ht="18" customHeight="1" x14ac:dyDescent="0.2">
      <c r="A4" s="17" t="str">
        <f>OVERALL!A4</f>
        <v>QUALITY SCORE</v>
      </c>
      <c r="B4" s="38">
        <f>IF(C2=0, "-", IF(COUNTIF(D39:I39, "n")=C2, "-", IF(COUNT(D4:I4)=0, "-", AVERAGE(D4:I4))))</f>
        <v>0.34583333333333333</v>
      </c>
      <c r="C4" s="59" t="s">
        <v>1</v>
      </c>
      <c r="D4" s="38" t="str">
        <f>IF(D48&lt;0%,0%,IF(D$2="-","-",IF(D$39="n", "-", SUM(D$6,D$12,D$17,D$23,D$28,D$34))))</f>
        <v>-</v>
      </c>
      <c r="E4" s="38">
        <f t="shared" ref="E4:I4" si="1">IF(E48&lt;0%,0%,IF(E$2="-","-",IF(E$39="n", "-", SUM(E$6,E$12,E$17,E$23,E$28,E$34))))</f>
        <v>0.40416666666666667</v>
      </c>
      <c r="F4" s="38">
        <f t="shared" si="1"/>
        <v>0.60416666666666674</v>
      </c>
      <c r="G4" s="38">
        <f t="shared" si="1"/>
        <v>0.32916666666666672</v>
      </c>
      <c r="H4" s="38">
        <f t="shared" si="1"/>
        <v>0.10000000000000003</v>
      </c>
      <c r="I4" s="38">
        <f t="shared" si="1"/>
        <v>0.29166666666666669</v>
      </c>
      <c r="K4" s="12" t="s">
        <v>8</v>
      </c>
    </row>
    <row r="5" spans="1:11" ht="18" customHeight="1" x14ac:dyDescent="0.25">
      <c r="A5" s="58" t="s">
        <v>49</v>
      </c>
      <c r="B5" s="59">
        <f>IF(B6="-","-",AVERAGE(D5:I5))</f>
        <v>0.40583333333333327</v>
      </c>
      <c r="C5" s="59" t="s">
        <v>1</v>
      </c>
      <c r="D5" s="61" t="str">
        <f t="shared" ref="D5:I5" si="2">IF(D$2="","",IF(D$39="n", "", SUM(D$6,D$12,D$17,D$23,D$28)))</f>
        <v/>
      </c>
      <c r="E5" s="61">
        <f t="shared" si="2"/>
        <v>0.40416666666666667</v>
      </c>
      <c r="F5" s="61">
        <f t="shared" si="2"/>
        <v>0.60416666666666674</v>
      </c>
      <c r="G5" s="61">
        <f t="shared" si="2"/>
        <v>0.32916666666666672</v>
      </c>
      <c r="H5" s="61">
        <f t="shared" si="2"/>
        <v>0.4</v>
      </c>
      <c r="I5" s="61">
        <f t="shared" si="2"/>
        <v>0.29166666666666669</v>
      </c>
      <c r="K5" s="7" t="s">
        <v>17</v>
      </c>
    </row>
    <row r="6" spans="1:11" ht="18" customHeight="1" x14ac:dyDescent="0.2">
      <c r="A6" s="20" t="str">
        <f>OVERALL!A6</f>
        <v>ENGAGE</v>
      </c>
      <c r="B6" s="21">
        <f>IF(C11=0,"-",AVERAGE(B7:B10))</f>
        <v>0.35</v>
      </c>
      <c r="C6" s="62" t="s">
        <v>0</v>
      </c>
      <c r="D6" s="28" t="str">
        <f>IF(D11=0,"-",(COUNTIF(D7:D10, "y")/D11)*OVERALL!$C$6)</f>
        <v>-</v>
      </c>
      <c r="E6" s="28">
        <f>IF(E11=0,"-",(COUNTIF(E7:E10, "y")/E11)*OVERALL!$C$6)</f>
        <v>0.05</v>
      </c>
      <c r="F6" s="28">
        <f>IF(F11=0,"-",(COUNTIF(F7:F10, "y")/F11)*OVERALL!$C$6)</f>
        <v>0.1</v>
      </c>
      <c r="G6" s="28">
        <f>IF(G11=0,"-",(COUNTIF(G7:G10, "y")/G11)*OVERALL!$C$6)</f>
        <v>0.05</v>
      </c>
      <c r="H6" s="28">
        <f>IF(H11=0,"-",(COUNTIF(H7:H10, "y")/H11)*OVERALL!$C$6)</f>
        <v>0.1</v>
      </c>
      <c r="I6" s="28">
        <f>IF(I11=0,"-",(COUNTIF(I7:I10, "y")/I11)*OVERALL!$C$6)</f>
        <v>0.05</v>
      </c>
    </row>
    <row r="7" spans="1:11" ht="18" customHeight="1" x14ac:dyDescent="0.2">
      <c r="A7" s="33" t="str">
        <f>OVERALL!A7</f>
        <v>WELCOME</v>
      </c>
      <c r="B7" s="3">
        <f>IF(C7=0,"-",COUNTIF(D7:I7,"y")/C7)</f>
        <v>1</v>
      </c>
      <c r="C7" s="26">
        <f>$C$2-COUNTIF(D7:I7, "-")</f>
        <v>5</v>
      </c>
      <c r="D7" s="297" t="s">
        <v>78</v>
      </c>
      <c r="E7" s="304" t="s">
        <v>122</v>
      </c>
      <c r="F7" s="293" t="s">
        <v>122</v>
      </c>
      <c r="G7" s="311" t="s">
        <v>122</v>
      </c>
      <c r="H7" s="305" t="s">
        <v>122</v>
      </c>
      <c r="I7" s="295" t="s">
        <v>122</v>
      </c>
      <c r="K7" s="11" t="s">
        <v>2</v>
      </c>
    </row>
    <row r="8" spans="1:11" ht="18" customHeight="1" x14ac:dyDescent="0.25">
      <c r="A8" s="33" t="str">
        <f>OVERALL!A8</f>
        <v>INTENT</v>
      </c>
      <c r="B8" s="3">
        <f>IF(C8=0,"-",COUNTIF(D8:I8,"y")/C8)</f>
        <v>0.2</v>
      </c>
      <c r="C8" s="26">
        <f>$C$2-COUNTIF(D8:I8, "-")</f>
        <v>5</v>
      </c>
      <c r="D8" s="297" t="s">
        <v>78</v>
      </c>
      <c r="E8" s="304" t="s">
        <v>121</v>
      </c>
      <c r="F8" s="293" t="s">
        <v>121</v>
      </c>
      <c r="G8" s="311" t="s">
        <v>121</v>
      </c>
      <c r="H8" s="305" t="s">
        <v>122</v>
      </c>
      <c r="I8" s="295" t="s">
        <v>121</v>
      </c>
      <c r="K8" s="7" t="s">
        <v>16</v>
      </c>
    </row>
    <row r="9" spans="1:11" ht="18" customHeight="1" x14ac:dyDescent="0.2">
      <c r="A9" s="33" t="str">
        <f>OVERALL!A9</f>
        <v>NAME</v>
      </c>
      <c r="B9" s="3">
        <f>IF(C9=0,"-",COUNTIF(D9:I9,"y")/C9)</f>
        <v>0.2</v>
      </c>
      <c r="C9" s="26">
        <f>$C$2-COUNTIF(D9:I9, "-")</f>
        <v>5</v>
      </c>
      <c r="D9" s="297" t="s">
        <v>78</v>
      </c>
      <c r="E9" s="304" t="s">
        <v>121</v>
      </c>
      <c r="F9" s="293" t="s">
        <v>122</v>
      </c>
      <c r="G9" s="311" t="s">
        <v>121</v>
      </c>
      <c r="H9" s="305" t="s">
        <v>121</v>
      </c>
      <c r="I9" s="295" t="s">
        <v>121</v>
      </c>
      <c r="K9" t="s">
        <v>1</v>
      </c>
    </row>
    <row r="10" spans="1:11" ht="18" customHeight="1" x14ac:dyDescent="0.2">
      <c r="A10" s="33" t="str">
        <f>OVERALL!A10</f>
        <v>BRIDGE</v>
      </c>
      <c r="B10" s="3">
        <f>IF(C10=0,"-",COUNTIF(D10:I10,"y")/C10)</f>
        <v>0</v>
      </c>
      <c r="C10" s="26">
        <f>$C$2-COUNTIF(D10:I10, "-")</f>
        <v>5</v>
      </c>
      <c r="D10" s="297" t="s">
        <v>78</v>
      </c>
      <c r="E10" s="304" t="s">
        <v>121</v>
      </c>
      <c r="F10" s="293" t="s">
        <v>121</v>
      </c>
      <c r="G10" s="311" t="s">
        <v>121</v>
      </c>
      <c r="H10" s="305" t="s">
        <v>121</v>
      </c>
      <c r="I10" s="295" t="s">
        <v>121</v>
      </c>
      <c r="K10" s="13" t="s">
        <v>3</v>
      </c>
    </row>
    <row r="11" spans="1:11" ht="18" customHeight="1" x14ac:dyDescent="0.25">
      <c r="A11" s="2"/>
      <c r="C11" s="64">
        <f>AVERAGE(C7:C10)</f>
        <v>5</v>
      </c>
      <c r="D11" s="27">
        <f t="shared" ref="D11:I11" si="3">COUNTA(D7:D10)-COUNTIF(D7:D10, "-")</f>
        <v>0</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t="str">
        <f>IF(D16=0,"-",(COUNTIF(D13:D15, "y")/D16)*OVERALL!$C$12)</f>
        <v>-</v>
      </c>
      <c r="E12" s="28">
        <f>IF(E16=0,"-",(COUNTIF(E13:E15, "y")/E16)*OVERALL!$C$12)</f>
        <v>6.6666666666666666E-2</v>
      </c>
      <c r="F12" s="28">
        <f>IF(F16=0,"-",(COUNTIF(F13:F15, "y")/F16)*OVERALL!$C$12)</f>
        <v>6.6666666666666666E-2</v>
      </c>
      <c r="G12" s="28">
        <f>IF(G16=0,"-",(COUNTIF(G13:G15, "y")/G16)*OVERALL!$C$12)</f>
        <v>6.6666666666666666E-2</v>
      </c>
      <c r="H12" s="28">
        <f>IF(H16=0,"-",(COUNTIF(H13:H15, "y")/H16)*OVERALL!$C$12)</f>
        <v>0.1</v>
      </c>
      <c r="I12" s="28">
        <f>IF(I16=0,"-",(COUNTIF(I13:I15, "y")/I16)*OVERALL!$C$12)</f>
        <v>6.6666666666666666E-2</v>
      </c>
      <c r="K12" t="s">
        <v>1</v>
      </c>
    </row>
    <row r="13" spans="1:11" ht="18" customHeight="1" x14ac:dyDescent="0.2">
      <c r="A13" s="33" t="str">
        <f>OVERALL!A13</f>
        <v>CONVERSE</v>
      </c>
      <c r="B13" s="3">
        <f>IF(C13=0,"-",COUNTIF(D13:I13,"y")/C13)</f>
        <v>0</v>
      </c>
      <c r="C13" s="26">
        <f>$C$2-COUNTIF(D13:I13, "-")</f>
        <v>5</v>
      </c>
      <c r="D13" s="297" t="s">
        <v>78</v>
      </c>
      <c r="E13" s="304" t="s">
        <v>121</v>
      </c>
      <c r="F13" s="293" t="s">
        <v>121</v>
      </c>
      <c r="G13" s="311" t="s">
        <v>121</v>
      </c>
      <c r="H13" s="305" t="s">
        <v>121</v>
      </c>
      <c r="I13" s="295" t="s">
        <v>121</v>
      </c>
      <c r="K13" s="14" t="s">
        <v>4</v>
      </c>
    </row>
    <row r="14" spans="1:11" ht="18" customHeight="1" x14ac:dyDescent="0.25">
      <c r="A14" s="33" t="str">
        <f>OVERALL!A14</f>
        <v>LISTEN</v>
      </c>
      <c r="B14" s="3">
        <f>IF(C14=0,"-",COUNTIF(D14:I14,"y")/C14)</f>
        <v>1</v>
      </c>
      <c r="C14" s="26">
        <f>$C$2-COUNTIF(D14:I14, "-")</f>
        <v>5</v>
      </c>
      <c r="D14" s="297" t="s">
        <v>78</v>
      </c>
      <c r="E14" s="304" t="s">
        <v>122</v>
      </c>
      <c r="F14" s="293" t="s">
        <v>122</v>
      </c>
      <c r="G14" s="311" t="s">
        <v>122</v>
      </c>
      <c r="H14" s="305" t="s">
        <v>122</v>
      </c>
      <c r="I14" s="295" t="s">
        <v>122</v>
      </c>
      <c r="K14" s="9" t="s">
        <v>14</v>
      </c>
    </row>
    <row r="15" spans="1:11" ht="18" customHeight="1" x14ac:dyDescent="0.2">
      <c r="A15" s="33" t="str">
        <f>OVERALL!A15</f>
        <v>CONFIRM</v>
      </c>
      <c r="B15" s="3">
        <f>IF(C15=0,"-",COUNTIF(D15:I15,"y")/C15)</f>
        <v>0</v>
      </c>
      <c r="C15" s="26">
        <f>$C$2-COUNTIF(D15:I15, "-")</f>
        <v>4</v>
      </c>
      <c r="D15" s="297" t="s">
        <v>78</v>
      </c>
      <c r="E15" s="304" t="s">
        <v>121</v>
      </c>
      <c r="F15" s="293" t="s">
        <v>121</v>
      </c>
      <c r="G15" s="311" t="s">
        <v>121</v>
      </c>
      <c r="H15" s="305" t="s">
        <v>78</v>
      </c>
      <c r="I15" s="295" t="s">
        <v>121</v>
      </c>
      <c r="J15" t="s">
        <v>1</v>
      </c>
    </row>
    <row r="16" spans="1:11" ht="18" customHeight="1" x14ac:dyDescent="0.2">
      <c r="A16" s="2"/>
      <c r="C16" s="64">
        <f>AVERAGE(C13:C15)</f>
        <v>4.666666666666667</v>
      </c>
      <c r="D16" s="27">
        <f t="shared" ref="D16:I16" si="4">COUNTA(D13:D15)-COUNTIF(D13:D15, "-")</f>
        <v>0</v>
      </c>
      <c r="E16" s="27">
        <f t="shared" si="4"/>
        <v>3</v>
      </c>
      <c r="F16" s="27">
        <f t="shared" si="4"/>
        <v>3</v>
      </c>
      <c r="G16" s="27">
        <f t="shared" si="4"/>
        <v>3</v>
      </c>
      <c r="H16" s="27">
        <f t="shared" si="4"/>
        <v>2</v>
      </c>
      <c r="I16" s="27">
        <f t="shared" si="4"/>
        <v>3</v>
      </c>
      <c r="K16" s="15" t="s">
        <v>7</v>
      </c>
    </row>
    <row r="17" spans="1:14" ht="18" customHeight="1" x14ac:dyDescent="0.25">
      <c r="A17" s="20" t="str">
        <f>OVERALL!A17</f>
        <v>EDUCATE</v>
      </c>
      <c r="B17" s="21">
        <f>IF(C22=0,"-",AVERAGE(B18:B21))</f>
        <v>0.5625</v>
      </c>
      <c r="C17" s="1" t="s">
        <v>1</v>
      </c>
      <c r="D17" s="29" t="str">
        <f>IF(D22=0,"-",(COUNTIF(D18:D21, "y")/D22)*OVERALL!$C$17)</f>
        <v>-</v>
      </c>
      <c r="E17" s="29">
        <f>IF(E22=0,"-",(COUNTIF(E18:E21, "y")/E22)*OVERALL!$C$17)</f>
        <v>0.1875</v>
      </c>
      <c r="F17" s="29">
        <f>IF(F22=0,"-",(COUNTIF(F18:F21, "y")/F22)*OVERALL!$C$17)</f>
        <v>0.1875</v>
      </c>
      <c r="G17" s="29">
        <f>IF(G22=0,"-",(COUNTIF(G18:G21, "y")/G22)*OVERALL!$C$17)</f>
        <v>6.25E-2</v>
      </c>
      <c r="H17" s="29" t="str">
        <f>IF(H22=0,"-",(COUNTIF(H18:H21, "y")/H22)*OVERALL!$C$17)</f>
        <v>-</v>
      </c>
      <c r="I17" s="29">
        <f>IF(I22=0,"-",(COUNTIF(I18:I21, "y")/I22)*OVERALL!$C$17)</f>
        <v>0.125</v>
      </c>
      <c r="K17" s="9" t="s">
        <v>6</v>
      </c>
    </row>
    <row r="18" spans="1:14" ht="18" customHeight="1" x14ac:dyDescent="0.2">
      <c r="A18" s="33" t="str">
        <f>OVERALL!A18</f>
        <v>INFORM</v>
      </c>
      <c r="B18" s="3">
        <f>IF(C18=0,"-",COUNTIF(D18:I18,"y")/C18)</f>
        <v>0.5</v>
      </c>
      <c r="C18" s="26">
        <f>$C$2-COUNTIF(D18:I18, "-")</f>
        <v>4</v>
      </c>
      <c r="D18" s="297" t="s">
        <v>78</v>
      </c>
      <c r="E18" s="304" t="s">
        <v>122</v>
      </c>
      <c r="F18" s="293" t="s">
        <v>122</v>
      </c>
      <c r="G18" s="311" t="s">
        <v>121</v>
      </c>
      <c r="H18" s="305" t="s">
        <v>78</v>
      </c>
      <c r="I18" s="295" t="s">
        <v>121</v>
      </c>
    </row>
    <row r="19" spans="1:14" ht="18" customHeight="1" x14ac:dyDescent="0.2">
      <c r="A19" s="33" t="str">
        <f>OVERALL!A19</f>
        <v>CHECK</v>
      </c>
      <c r="B19" s="3">
        <f>IF(C19=0,"-",COUNTIF(D19:I19,"y")/C19)</f>
        <v>0</v>
      </c>
      <c r="C19" s="26">
        <f>$C$2-COUNTIF(D19:I19, "-")</f>
        <v>4</v>
      </c>
      <c r="D19" s="297" t="s">
        <v>78</v>
      </c>
      <c r="E19" s="304" t="s">
        <v>121</v>
      </c>
      <c r="F19" s="293" t="s">
        <v>121</v>
      </c>
      <c r="G19" s="311" t="s">
        <v>121</v>
      </c>
      <c r="H19" s="305" t="s">
        <v>78</v>
      </c>
      <c r="I19" s="295" t="s">
        <v>121</v>
      </c>
    </row>
    <row r="20" spans="1:14" ht="18" customHeight="1" x14ac:dyDescent="0.2">
      <c r="A20" s="33" t="str">
        <f>OVERALL!A20</f>
        <v>SEEK</v>
      </c>
      <c r="B20" s="3">
        <f>IF(C20=0,"-",COUNTIF(D20:I20,"y")/C20)</f>
        <v>0.75</v>
      </c>
      <c r="C20" s="26">
        <f>$C$2-COUNTIF(D20:I20, "-")</f>
        <v>4</v>
      </c>
      <c r="D20" s="297" t="s">
        <v>78</v>
      </c>
      <c r="E20" s="304" t="s">
        <v>122</v>
      </c>
      <c r="F20" s="293" t="s">
        <v>122</v>
      </c>
      <c r="G20" s="311" t="s">
        <v>121</v>
      </c>
      <c r="H20" s="305" t="s">
        <v>78</v>
      </c>
      <c r="I20" s="295" t="s">
        <v>122</v>
      </c>
      <c r="K20" t="s">
        <v>1</v>
      </c>
    </row>
    <row r="21" spans="1:14" ht="18" customHeight="1" x14ac:dyDescent="0.2">
      <c r="A21" s="33" t="str">
        <f>OVERALL!A21</f>
        <v>CONFIDENCE</v>
      </c>
      <c r="B21" s="3">
        <f>IF(C21=0,"-",COUNTIF(D21:I21,"y")/C21)</f>
        <v>1</v>
      </c>
      <c r="C21" s="26">
        <f>$C$2-COUNTIF(D21:I21, "-")</f>
        <v>4</v>
      </c>
      <c r="D21" s="297" t="s">
        <v>78</v>
      </c>
      <c r="E21" s="304" t="s">
        <v>122</v>
      </c>
      <c r="F21" s="293" t="s">
        <v>122</v>
      </c>
      <c r="G21" s="311" t="s">
        <v>122</v>
      </c>
      <c r="H21" s="305" t="s">
        <v>78</v>
      </c>
      <c r="I21" s="295" t="s">
        <v>122</v>
      </c>
    </row>
    <row r="22" spans="1:14" ht="18" customHeight="1" x14ac:dyDescent="0.2">
      <c r="A22" s="2"/>
      <c r="C22" s="64">
        <f>AVERAGE(C18:C21)</f>
        <v>4</v>
      </c>
      <c r="D22" s="27">
        <f t="shared" ref="D22:I22" si="5">COUNTA(D18:D21)-COUNTIF(D18:D21, "-")</f>
        <v>0</v>
      </c>
      <c r="E22" s="27">
        <f t="shared" si="5"/>
        <v>4</v>
      </c>
      <c r="F22" s="27">
        <f t="shared" si="5"/>
        <v>4</v>
      </c>
      <c r="G22" s="27">
        <f t="shared" si="5"/>
        <v>4</v>
      </c>
      <c r="H22" s="27">
        <f t="shared" si="5"/>
        <v>0</v>
      </c>
      <c r="I22" s="27">
        <f t="shared" si="5"/>
        <v>4</v>
      </c>
    </row>
    <row r="23" spans="1:14" ht="18" customHeight="1" x14ac:dyDescent="0.2">
      <c r="A23" s="20" t="str">
        <f>OVERALL!A23</f>
        <v>CLOSE</v>
      </c>
      <c r="B23" s="21">
        <f>IF(C27=0,"-",AVERAGE(B24:B26))</f>
        <v>0.25</v>
      </c>
      <c r="C23" s="1" t="s">
        <v>1</v>
      </c>
      <c r="D23" s="29" t="str">
        <f>IF(D27=0,"-",(COUNTIF(D24:D26, "y")/D27)*OVERALL!$C$23)</f>
        <v>-</v>
      </c>
      <c r="E23" s="29">
        <f>IF(E27=0,"-",(COUNTIF(E24:E26, "y")/E27)*OVERALL!$C$23)</f>
        <v>4.9999999999999996E-2</v>
      </c>
      <c r="F23" s="29">
        <f>IF(F27=0,"-",(COUNTIF(F24:F26, "y")/F27)*OVERALL!$C$23)</f>
        <v>9.9999999999999992E-2</v>
      </c>
      <c r="G23" s="29">
        <f>IF(G27=0,"-",(COUNTIF(G24:G26, "y")/G27)*OVERALL!$C$23)</f>
        <v>0</v>
      </c>
      <c r="H23" s="29" t="str">
        <f>IF(H27=0,"-",(COUNTIF(H24:H26, "y")/H27)*OVERALL!$C$23)</f>
        <v>-</v>
      </c>
      <c r="I23" s="29">
        <f>IF(I27=0,"-",(COUNTIF(I24:I26, "y")/I27)*OVERALL!$C$23)</f>
        <v>0</v>
      </c>
    </row>
    <row r="24" spans="1:14" ht="18" customHeight="1" x14ac:dyDescent="0.2">
      <c r="A24" s="33" t="str">
        <f>OVERALL!A24</f>
        <v>QUESTIONS</v>
      </c>
      <c r="B24" s="3">
        <f>IF(C24=0,"-",COUNTIF(D24:I24,"y")/C24)</f>
        <v>0</v>
      </c>
      <c r="C24" s="26">
        <f>$C$2-COUNTIF(D24:I24, "-")</f>
        <v>4</v>
      </c>
      <c r="D24" s="297" t="s">
        <v>78</v>
      </c>
      <c r="E24" s="304" t="s">
        <v>121</v>
      </c>
      <c r="F24" s="293" t="s">
        <v>121</v>
      </c>
      <c r="G24" s="311" t="s">
        <v>121</v>
      </c>
      <c r="H24" s="305" t="s">
        <v>78</v>
      </c>
      <c r="I24" s="295" t="s">
        <v>121</v>
      </c>
    </row>
    <row r="25" spans="1:14" ht="18" customHeight="1" x14ac:dyDescent="0.2">
      <c r="A25" s="33" t="str">
        <f>OVERALL!A25</f>
        <v>GRATITUDE</v>
      </c>
      <c r="B25" s="3">
        <f>IF(C25=0,"-",COUNTIF(D25:I25,"y")/C25)</f>
        <v>0.25</v>
      </c>
      <c r="C25" s="26">
        <f>$C$2-COUNTIF(D25:I25, "-")</f>
        <v>4</v>
      </c>
      <c r="D25" s="297" t="s">
        <v>78</v>
      </c>
      <c r="E25" s="304" t="s">
        <v>121</v>
      </c>
      <c r="F25" s="293" t="s">
        <v>122</v>
      </c>
      <c r="G25" s="311" t="s">
        <v>121</v>
      </c>
      <c r="H25" s="305" t="s">
        <v>78</v>
      </c>
      <c r="I25" s="295" t="s">
        <v>121</v>
      </c>
    </row>
    <row r="26" spans="1:14" ht="18" customHeight="1" x14ac:dyDescent="0.2">
      <c r="A26" s="33" t="str">
        <f>OVERALL!A26</f>
        <v>THANKS</v>
      </c>
      <c r="B26" s="3">
        <f>IF(C26=0,"-",COUNTIF(D26:I26,"y")/C26)</f>
        <v>0.5</v>
      </c>
      <c r="C26" s="26">
        <f>$C$2-COUNTIF(D26:I26, "-")</f>
        <v>4</v>
      </c>
      <c r="D26" s="297" t="s">
        <v>78</v>
      </c>
      <c r="E26" s="304" t="s">
        <v>122</v>
      </c>
      <c r="F26" s="293" t="s">
        <v>122</v>
      </c>
      <c r="G26" s="311" t="s">
        <v>121</v>
      </c>
      <c r="H26" s="305" t="s">
        <v>78</v>
      </c>
      <c r="I26" s="295" t="s">
        <v>121</v>
      </c>
    </row>
    <row r="27" spans="1:14" ht="18" customHeight="1" x14ac:dyDescent="0.2">
      <c r="A27" s="2"/>
      <c r="C27" s="64">
        <f>AVERAGE(C24:C26)</f>
        <v>4</v>
      </c>
      <c r="D27" s="27">
        <f t="shared" ref="D27:I27" si="6">COUNTA(D24:D26)-COUNTIF(D24:D26, "-")</f>
        <v>0</v>
      </c>
      <c r="E27" s="27">
        <f t="shared" si="6"/>
        <v>3</v>
      </c>
      <c r="F27" s="27">
        <f t="shared" si="6"/>
        <v>3</v>
      </c>
      <c r="G27" s="27">
        <f t="shared" si="6"/>
        <v>3</v>
      </c>
      <c r="H27" s="27">
        <f t="shared" si="6"/>
        <v>0</v>
      </c>
      <c r="I27" s="27">
        <f t="shared" si="6"/>
        <v>3</v>
      </c>
    </row>
    <row r="28" spans="1:14" ht="18" customHeight="1" x14ac:dyDescent="0.2">
      <c r="A28" s="20" t="str">
        <f>OVERALL!A28</f>
        <v>ENERGY</v>
      </c>
      <c r="B28" s="21">
        <f>IF(C33=0,"-",AVERAGE(B29:B32))</f>
        <v>0.6</v>
      </c>
      <c r="C28" s="1" t="s">
        <v>1</v>
      </c>
      <c r="D28" s="29" t="str">
        <f>IF(D33=0,"-",(COUNTIF(D29:D32, "y")/D33)*OVERALL!$C$28)</f>
        <v>-</v>
      </c>
      <c r="E28" s="29">
        <f>IF(E33=0,"-",(COUNTIF(E29:E32, "y")/E33)*OVERALL!$C$28)</f>
        <v>0.05</v>
      </c>
      <c r="F28" s="29">
        <f>IF(F33=0,"-",(COUNTIF(F29:F32, "y")/F33)*OVERALL!$C$28)</f>
        <v>0.15000000000000002</v>
      </c>
      <c r="G28" s="29">
        <f>IF(G33=0,"-",(COUNTIF(G29:G32, "y")/G33)*OVERALL!$C$28)</f>
        <v>0.15000000000000002</v>
      </c>
      <c r="H28" s="29">
        <f>IF(H33=0,"-",(COUNTIF(H29:H32, "y")/H33)*OVERALL!$C$28)</f>
        <v>0.2</v>
      </c>
      <c r="I28" s="29">
        <f>IF(I33=0,"-",(COUNTIF(I29:I32, "y")/I33)*OVERALL!$C$28)</f>
        <v>0.05</v>
      </c>
    </row>
    <row r="29" spans="1:14" ht="18" customHeight="1" x14ac:dyDescent="0.2">
      <c r="A29" s="33" t="str">
        <f>OVERALL!A29</f>
        <v>VIBRANCY</v>
      </c>
      <c r="B29" s="3">
        <f>IF(C29=0,"-",COUNTIF(D29:I29,"y")/C29)</f>
        <v>1</v>
      </c>
      <c r="C29" s="26">
        <f>$C$2-COUNTIF(D29:I29, "-")</f>
        <v>5</v>
      </c>
      <c r="D29" s="297" t="s">
        <v>78</v>
      </c>
      <c r="E29" s="304" t="s">
        <v>122</v>
      </c>
      <c r="F29" s="293" t="s">
        <v>122</v>
      </c>
      <c r="G29" s="311" t="s">
        <v>122</v>
      </c>
      <c r="H29" s="305" t="s">
        <v>122</v>
      </c>
      <c r="I29" s="295" t="s">
        <v>122</v>
      </c>
    </row>
    <row r="30" spans="1:14" ht="18" customHeight="1" x14ac:dyDescent="0.2">
      <c r="A30" s="33" t="str">
        <f>OVERALL!A30</f>
        <v>EMPATHY</v>
      </c>
      <c r="B30" s="3">
        <f>IF(C30=0,"-",COUNTIF(D30:I30,"y")/C30)</f>
        <v>0.6</v>
      </c>
      <c r="C30" s="26">
        <f>$C$2-COUNTIF(D30:I30, "-")</f>
        <v>5</v>
      </c>
      <c r="D30" s="297" t="s">
        <v>78</v>
      </c>
      <c r="E30" s="304" t="s">
        <v>121</v>
      </c>
      <c r="F30" s="293" t="s">
        <v>122</v>
      </c>
      <c r="G30" s="311" t="s">
        <v>122</v>
      </c>
      <c r="H30" s="305" t="s">
        <v>122</v>
      </c>
      <c r="I30" s="295" t="s">
        <v>121</v>
      </c>
    </row>
    <row r="31" spans="1:14" ht="18" customHeight="1" x14ac:dyDescent="0.2">
      <c r="A31" s="33" t="str">
        <f>OVERALL!A31</f>
        <v>CONTROL</v>
      </c>
      <c r="B31" s="3">
        <f>IF(C31=0,"-",COUNTIF(D31:I31,"y")/C31)</f>
        <v>0.2</v>
      </c>
      <c r="C31" s="26">
        <f>$C$2-COUNTIF(D31:I31, "-")</f>
        <v>5</v>
      </c>
      <c r="D31" s="297" t="s">
        <v>78</v>
      </c>
      <c r="E31" s="304" t="s">
        <v>121</v>
      </c>
      <c r="F31" s="293" t="s">
        <v>121</v>
      </c>
      <c r="G31" s="311" t="s">
        <v>121</v>
      </c>
      <c r="H31" s="305" t="s">
        <v>122</v>
      </c>
      <c r="I31" s="295" t="s">
        <v>121</v>
      </c>
    </row>
    <row r="32" spans="1:14" ht="18" customHeight="1" x14ac:dyDescent="0.2">
      <c r="A32" s="33" t="str">
        <f>OVERALL!A32</f>
        <v>CLARITY</v>
      </c>
      <c r="B32" s="3">
        <f>IF(C32=0,"-",COUNTIF(D32:I32,"y")/C32)</f>
        <v>0.6</v>
      </c>
      <c r="C32" s="26">
        <f>$C$2-COUNTIF(D32:I32, "-")</f>
        <v>5</v>
      </c>
      <c r="D32" s="297" t="s">
        <v>78</v>
      </c>
      <c r="E32" s="304" t="s">
        <v>121</v>
      </c>
      <c r="F32" s="293" t="s">
        <v>122</v>
      </c>
      <c r="G32" s="311" t="s">
        <v>122</v>
      </c>
      <c r="H32" s="305" t="s">
        <v>122</v>
      </c>
      <c r="I32" s="295" t="s">
        <v>121</v>
      </c>
      <c r="N32" t="s">
        <v>1</v>
      </c>
    </row>
    <row r="33" spans="1:16" ht="18" customHeight="1" x14ac:dyDescent="0.2">
      <c r="A33" s="5"/>
      <c r="B33" s="6"/>
      <c r="C33" s="64">
        <f>AVERAGE(C29:C32)</f>
        <v>5</v>
      </c>
      <c r="D33" s="27">
        <f t="shared" ref="D33:I33" si="7">COUNTA(D29:D32)-COUNTIF(D29:D32, "-")</f>
        <v>0</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0.2</v>
      </c>
      <c r="C34" s="1" t="s">
        <v>1</v>
      </c>
      <c r="D34" s="44" t="str">
        <f t="shared" ref="D34:I34" si="8">IF(D37=0,"-",IF(D37="","-",IF(D35="y",$K$35,IF(D36="y",$K$36,0%))))</f>
        <v>-</v>
      </c>
      <c r="E34" s="44" t="str">
        <f t="shared" si="8"/>
        <v>-</v>
      </c>
      <c r="F34" s="44" t="str">
        <f t="shared" si="8"/>
        <v>-</v>
      </c>
      <c r="G34" s="44" t="str">
        <f t="shared" si="8"/>
        <v>-</v>
      </c>
      <c r="H34" s="44">
        <f t="shared" si="8"/>
        <v>-0.3</v>
      </c>
      <c r="I34" s="44" t="str">
        <f t="shared" si="8"/>
        <v>-</v>
      </c>
      <c r="K34" s="44" t="s">
        <v>51</v>
      </c>
    </row>
    <row r="35" spans="1:16" ht="18" customHeight="1" x14ac:dyDescent="0.2">
      <c r="A35" s="45" t="str">
        <f>OVERALL!A35</f>
        <v>AUDIO ISSUE (MAJOR IMPACT)</v>
      </c>
      <c r="B35" s="3">
        <f>IF(C35=0,"-",COUNTIF(D35:I35,"y")/C35)</f>
        <v>0.2</v>
      </c>
      <c r="C35" s="26">
        <f>$C$2-COUNTIF(D35:I35, "-")</f>
        <v>5</v>
      </c>
      <c r="D35" s="297" t="s">
        <v>78</v>
      </c>
      <c r="E35" s="304" t="s">
        <v>121</v>
      </c>
      <c r="F35" s="293" t="s">
        <v>121</v>
      </c>
      <c r="G35" s="311" t="s">
        <v>121</v>
      </c>
      <c r="H35" s="305" t="s">
        <v>122</v>
      </c>
      <c r="I35" s="295" t="s">
        <v>121</v>
      </c>
      <c r="K35" s="48">
        <v>-0.3</v>
      </c>
      <c r="M35" s="48"/>
      <c r="N35" s="48"/>
      <c r="O35" s="48"/>
    </row>
    <row r="36" spans="1:16" ht="18" customHeight="1" x14ac:dyDescent="0.2">
      <c r="A36" s="45" t="str">
        <f>OVERALL!A36</f>
        <v>AUDIO ISSUE (DISTRACTION)</v>
      </c>
      <c r="B36" s="3">
        <f>IF(C36=0,"-",COUNTIF(D36:I36,"y")/C36)</f>
        <v>0</v>
      </c>
      <c r="C36" s="26">
        <f>$C$2-COUNTIF(D36:I36, "-")</f>
        <v>5</v>
      </c>
      <c r="D36" s="297" t="s">
        <v>78</v>
      </c>
      <c r="E36" s="304" t="s">
        <v>121</v>
      </c>
      <c r="F36" s="293" t="s">
        <v>121</v>
      </c>
      <c r="G36" s="311" t="s">
        <v>121</v>
      </c>
      <c r="H36" s="305" t="s">
        <v>121</v>
      </c>
      <c r="I36" s="295" t="s">
        <v>121</v>
      </c>
      <c r="K36" s="48">
        <v>-0.1</v>
      </c>
      <c r="M36" s="48"/>
      <c r="N36" s="48"/>
      <c r="O36" s="48"/>
    </row>
    <row r="37" spans="1:16" ht="18" customHeight="1" x14ac:dyDescent="0.2">
      <c r="A37" s="5"/>
      <c r="B37" s="6"/>
      <c r="C37" s="64">
        <f>C35</f>
        <v>5</v>
      </c>
      <c r="D37" s="27">
        <f t="shared" ref="D37:I37" si="9">IF(D35="NA","",COUNTIF(D35:D36, "y"))</f>
        <v>0</v>
      </c>
      <c r="E37" s="27">
        <f t="shared" si="9"/>
        <v>0</v>
      </c>
      <c r="F37" s="27">
        <f t="shared" si="9"/>
        <v>0</v>
      </c>
      <c r="G37" s="27">
        <f t="shared" si="9"/>
        <v>0</v>
      </c>
      <c r="H37" s="27">
        <f t="shared" si="9"/>
        <v>1</v>
      </c>
      <c r="I37" s="27">
        <f t="shared" si="9"/>
        <v>0</v>
      </c>
    </row>
    <row r="38" spans="1:16" ht="18" customHeight="1" x14ac:dyDescent="0.2">
      <c r="A38" s="353" t="str">
        <f>OVERALL!A38</f>
        <v>ADDITIONAL INSIGHT</v>
      </c>
      <c r="B38" s="354"/>
      <c r="C38" s="10" t="s">
        <v>1</v>
      </c>
      <c r="D38" s="30"/>
      <c r="E38" s="30"/>
      <c r="F38" s="30"/>
      <c r="G38" s="30"/>
      <c r="H38" s="30"/>
      <c r="I38" s="30"/>
    </row>
    <row r="39" spans="1:16" ht="18" customHeight="1" x14ac:dyDescent="0.2">
      <c r="A39" s="33" t="str">
        <f>OVERALL!A39</f>
        <v>CALL ANSWERED-QUALITY</v>
      </c>
      <c r="B39" s="3">
        <f>IF(C39=0,"-",COUNTIF(D39:I39, "y")/C39)</f>
        <v>0.83333333333333337</v>
      </c>
      <c r="C39" s="26">
        <f t="shared" ref="C39:C45" si="10">$C$2-COUNTIF(D39:I39, "-")</f>
        <v>6</v>
      </c>
      <c r="D39" s="297" t="s">
        <v>121</v>
      </c>
      <c r="E39" s="304" t="s">
        <v>122</v>
      </c>
      <c r="F39" s="293" t="s">
        <v>122</v>
      </c>
      <c r="G39" s="311" t="s">
        <v>122</v>
      </c>
      <c r="H39" s="305" t="s">
        <v>122</v>
      </c>
      <c r="I39" s="295" t="s">
        <v>122</v>
      </c>
      <c r="K39" s="292"/>
    </row>
    <row r="40" spans="1:16" ht="18" customHeight="1" x14ac:dyDescent="0.2">
      <c r="A40" s="33" t="str">
        <f>OVERALL!A40</f>
        <v>TALK TIME</v>
      </c>
      <c r="B40" s="283">
        <f>IF(C40=0,"-",AVERAGE(D40:I40))</f>
        <v>3.2962962962962963E-3</v>
      </c>
      <c r="C40" s="26">
        <f t="shared" si="10"/>
        <v>5</v>
      </c>
      <c r="D40" s="299" t="s">
        <v>78</v>
      </c>
      <c r="E40" s="287">
        <v>4.5254629629629629E-3</v>
      </c>
      <c r="F40" s="287">
        <v>5.162037037037037E-3</v>
      </c>
      <c r="G40" s="287">
        <v>1.1805555555555556E-3</v>
      </c>
      <c r="H40" s="287">
        <v>3.0324074074074073E-3</v>
      </c>
      <c r="I40" s="287">
        <v>2.5810185185185185E-3</v>
      </c>
      <c r="J40" s="46"/>
      <c r="K40" s="267"/>
      <c r="L40" s="267"/>
      <c r="M40" s="267"/>
      <c r="N40" s="267"/>
      <c r="O40" s="267"/>
      <c r="P40" s="267"/>
    </row>
    <row r="41" spans="1:16" ht="18" customHeight="1" x14ac:dyDescent="0.2">
      <c r="A41" s="33" t="str">
        <f>OVERALL!A41</f>
        <v>ASSESSOR RATING (0-10)</v>
      </c>
      <c r="B41" s="289">
        <f>IF(C41=0,"-",SUM(D41:I41)/C41)</f>
        <v>3.4</v>
      </c>
      <c r="C41" s="26">
        <f t="shared" si="10"/>
        <v>5</v>
      </c>
      <c r="D41" s="300" t="s">
        <v>78</v>
      </c>
      <c r="E41" s="291">
        <v>4</v>
      </c>
      <c r="F41" s="291">
        <v>5</v>
      </c>
      <c r="G41" s="291">
        <v>3</v>
      </c>
      <c r="H41" s="291">
        <v>2</v>
      </c>
      <c r="I41" s="291">
        <v>3</v>
      </c>
    </row>
    <row r="42" spans="1:16" ht="18" customHeight="1" x14ac:dyDescent="0.2">
      <c r="A42" s="33" t="str">
        <f>OVERALL!A42</f>
        <v>EXPLAINED KEY FEATURES</v>
      </c>
      <c r="B42" s="3">
        <f>IF(C42=0,"-",COUNTIF(D42:I42, "y")/C42)</f>
        <v>0.75</v>
      </c>
      <c r="C42" s="26">
        <f t="shared" si="10"/>
        <v>4</v>
      </c>
      <c r="D42" s="297" t="s">
        <v>78</v>
      </c>
      <c r="E42" s="304" t="s">
        <v>122</v>
      </c>
      <c r="F42" s="293" t="s">
        <v>122</v>
      </c>
      <c r="G42" s="311" t="s">
        <v>121</v>
      </c>
      <c r="H42" s="305" t="s">
        <v>78</v>
      </c>
      <c r="I42" s="295" t="s">
        <v>122</v>
      </c>
      <c r="J42" s="47"/>
      <c r="K42" t="s">
        <v>1</v>
      </c>
    </row>
    <row r="43" spans="1:16" ht="18" customHeight="1" x14ac:dyDescent="0.2">
      <c r="A43" s="33" t="str">
        <f>OVERALL!A43</f>
        <v>REVEALED PRICING</v>
      </c>
      <c r="B43" s="3">
        <f>IF(C43=0,"-",COUNTIF(D43:I43, "y")/C43)</f>
        <v>0.75</v>
      </c>
      <c r="C43" s="26">
        <f t="shared" si="10"/>
        <v>4</v>
      </c>
      <c r="D43" s="297" t="s">
        <v>78</v>
      </c>
      <c r="E43" s="304" t="s">
        <v>122</v>
      </c>
      <c r="F43" s="293" t="s">
        <v>122</v>
      </c>
      <c r="G43" s="311" t="s">
        <v>121</v>
      </c>
      <c r="H43" s="305" t="s">
        <v>78</v>
      </c>
      <c r="I43" s="295" t="s">
        <v>122</v>
      </c>
    </row>
    <row r="44" spans="1:16" ht="18" customHeight="1" x14ac:dyDescent="0.2">
      <c r="A44" s="33" t="str">
        <f>OVERALL!A44</f>
        <v>EXPLAINED ACTIONS &amp; PROCESS</v>
      </c>
      <c r="B44" s="3">
        <f>IF(C44=0,"-",COUNTIF(D44:I44, "y")/C44)</f>
        <v>0.25</v>
      </c>
      <c r="C44" s="26">
        <f t="shared" si="10"/>
        <v>4</v>
      </c>
      <c r="D44" s="297" t="s">
        <v>78</v>
      </c>
      <c r="E44" s="304" t="s">
        <v>121</v>
      </c>
      <c r="F44" s="293" t="s">
        <v>122</v>
      </c>
      <c r="G44" s="311" t="s">
        <v>121</v>
      </c>
      <c r="H44" s="305" t="s">
        <v>78</v>
      </c>
      <c r="I44" s="295" t="s">
        <v>121</v>
      </c>
    </row>
    <row r="45" spans="1:16" ht="18" customHeight="1" x14ac:dyDescent="0.2">
      <c r="A45" s="33" t="str">
        <f>OVERALL!A45</f>
        <v>WEBSITE EDUCATION</v>
      </c>
      <c r="B45" s="3">
        <f>IF(C45=0,"-",COUNTIF(D45:I45, "y")/C45)</f>
        <v>0</v>
      </c>
      <c r="C45" s="26">
        <f t="shared" si="10"/>
        <v>4</v>
      </c>
      <c r="D45" s="297" t="s">
        <v>78</v>
      </c>
      <c r="E45" s="304" t="s">
        <v>121</v>
      </c>
      <c r="F45" s="293" t="s">
        <v>121</v>
      </c>
      <c r="G45" s="311" t="s">
        <v>121</v>
      </c>
      <c r="H45" s="305" t="s">
        <v>78</v>
      </c>
      <c r="I45" s="295" t="s">
        <v>121</v>
      </c>
    </row>
    <row r="46" spans="1:16" ht="18" customHeight="1" x14ac:dyDescent="0.2">
      <c r="A46" s="18"/>
      <c r="B46" s="3"/>
      <c r="C46" s="26"/>
      <c r="D46" s="265"/>
      <c r="E46" s="265"/>
      <c r="F46" s="265"/>
      <c r="G46" s="265"/>
      <c r="H46" s="265"/>
      <c r="I46" s="265"/>
    </row>
    <row r="47" spans="1:16" ht="195" x14ac:dyDescent="0.2">
      <c r="A47" s="25" t="s">
        <v>1</v>
      </c>
      <c r="B47" s="355" t="s">
        <v>36</v>
      </c>
      <c r="C47" s="356"/>
      <c r="D47" s="23" t="s">
        <v>156</v>
      </c>
      <c r="E47" s="23" t="s">
        <v>164</v>
      </c>
      <c r="F47" s="23" t="s">
        <v>128</v>
      </c>
      <c r="G47" s="23" t="s">
        <v>189</v>
      </c>
      <c r="H47" s="23" t="s">
        <v>173</v>
      </c>
      <c r="I47" s="23" t="s">
        <v>142</v>
      </c>
    </row>
    <row r="48" spans="1:16" ht="18" customHeight="1" x14ac:dyDescent="0.2">
      <c r="A48" s="60" t="s">
        <v>48</v>
      </c>
      <c r="D48" s="51" t="str">
        <f t="shared" ref="D48:I48" si="11">IF(D$2="","",IF(D$39="n", "", SUM(D$6,D$12,D$17,D$23,D$28,D$34)))</f>
        <v/>
      </c>
      <c r="E48" s="51">
        <f t="shared" si="11"/>
        <v>0.40416666666666667</v>
      </c>
      <c r="F48" s="51">
        <f t="shared" si="11"/>
        <v>0.60416666666666674</v>
      </c>
      <c r="G48" s="51">
        <f t="shared" si="11"/>
        <v>0.32916666666666672</v>
      </c>
      <c r="H48" s="51">
        <f t="shared" si="11"/>
        <v>0.10000000000000003</v>
      </c>
      <c r="I48" s="51">
        <f t="shared" si="11"/>
        <v>0.29166666666666669</v>
      </c>
    </row>
    <row r="50" spans="1:9" ht="19" x14ac:dyDescent="0.25">
      <c r="A50" s="111" t="s">
        <v>75</v>
      </c>
      <c r="B50" s="91" t="s">
        <v>76</v>
      </c>
    </row>
    <row r="51" spans="1:9" x14ac:dyDescent="0.2">
      <c r="A51" s="112" t="s">
        <v>64</v>
      </c>
      <c r="B51" s="113">
        <v>0.3</v>
      </c>
      <c r="C51" s="112"/>
      <c r="D51" s="257">
        <f>[1]ORIGIN!D$4</f>
        <v>0.10535714285714282</v>
      </c>
      <c r="E51" s="257">
        <f>[1]ORIGIN!E$4</f>
        <v>0.66785714285714282</v>
      </c>
      <c r="F51" s="257">
        <f>[1]ORIGIN!F$4</f>
        <v>0.66785714285714282</v>
      </c>
      <c r="G51" s="257">
        <f>[1]ORIGIN!G$4</f>
        <v>0.63660714285714282</v>
      </c>
      <c r="H51" s="257">
        <f>[1]ORIGIN!H$4</f>
        <v>0.63660714285714282</v>
      </c>
      <c r="I51" s="257">
        <f>[1]ORIGIN!I$4</f>
        <v>0.85833333333333339</v>
      </c>
    </row>
    <row r="52" spans="1:9" x14ac:dyDescent="0.2">
      <c r="A52" s="112" t="s">
        <v>65</v>
      </c>
      <c r="B52" s="113">
        <v>0.7</v>
      </c>
      <c r="C52" s="112"/>
      <c r="D52" s="258" t="str">
        <f t="shared" ref="D52:I52" si="12">D4</f>
        <v>-</v>
      </c>
      <c r="E52" s="258">
        <f t="shared" si="12"/>
        <v>0.40416666666666667</v>
      </c>
      <c r="F52" s="258">
        <f t="shared" si="12"/>
        <v>0.60416666666666674</v>
      </c>
      <c r="G52" s="258">
        <f t="shared" si="12"/>
        <v>0.32916666666666672</v>
      </c>
      <c r="H52" s="258">
        <f t="shared" si="12"/>
        <v>0.10000000000000003</v>
      </c>
      <c r="I52" s="258">
        <f t="shared" si="12"/>
        <v>0.29166666666666669</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3.1607142857142841E-2</v>
      </c>
      <c r="E55" s="258">
        <f t="shared" ref="E55:I55" si="13">IF(E51="-","-",E51*$B$51)</f>
        <v>0.20035714285714284</v>
      </c>
      <c r="F55" s="258">
        <f t="shared" si="13"/>
        <v>0.20035714285714284</v>
      </c>
      <c r="G55" s="258">
        <f t="shared" si="13"/>
        <v>0.19098214285714285</v>
      </c>
      <c r="H55" s="258">
        <f t="shared" si="13"/>
        <v>0.19098214285714285</v>
      </c>
      <c r="I55" s="258">
        <f t="shared" si="13"/>
        <v>0.25750000000000001</v>
      </c>
    </row>
    <row r="56" spans="1:9" x14ac:dyDescent="0.2">
      <c r="A56" s="112" t="s">
        <v>65</v>
      </c>
      <c r="B56" s="112"/>
      <c r="C56" s="112"/>
      <c r="D56" s="258" t="str">
        <f t="shared" ref="D56:I56" si="14">IF(D52="-","-",D52*$B$52)</f>
        <v>-</v>
      </c>
      <c r="E56" s="258">
        <f t="shared" si="14"/>
        <v>0.28291666666666665</v>
      </c>
      <c r="F56" s="258">
        <f t="shared" si="14"/>
        <v>0.42291666666666672</v>
      </c>
      <c r="G56" s="258">
        <f t="shared" si="14"/>
        <v>0.23041666666666669</v>
      </c>
      <c r="H56" s="258">
        <f t="shared" si="14"/>
        <v>7.0000000000000021E-2</v>
      </c>
      <c r="I56" s="258">
        <f t="shared" si="14"/>
        <v>0.20416666666666666</v>
      </c>
    </row>
    <row r="57" spans="1:9" x14ac:dyDescent="0.2">
      <c r="A57" s="115" t="s">
        <v>60</v>
      </c>
      <c r="B57" s="115"/>
      <c r="C57" s="115"/>
      <c r="D57" s="116">
        <f t="shared" ref="D57:I57" si="15">IF(D51="","",IF(D52="","",SUM(D55:D56)))</f>
        <v>3.1607142857142841E-2</v>
      </c>
      <c r="E57" s="116">
        <f t="shared" si="15"/>
        <v>0.48327380952380949</v>
      </c>
      <c r="F57" s="116">
        <f t="shared" si="15"/>
        <v>0.62327380952380951</v>
      </c>
      <c r="G57" s="116">
        <f t="shared" si="15"/>
        <v>0.42139880952380954</v>
      </c>
      <c r="H57" s="116">
        <f t="shared" si="15"/>
        <v>0.26098214285714288</v>
      </c>
      <c r="I57" s="116">
        <f t="shared" si="15"/>
        <v>0.46166666666666667</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6" zoomScaleNormal="86" workbookViewId="0">
      <pane xSplit="3" ySplit="6" topLeftCell="D47" activePane="bottomRight" state="frozen"/>
      <selection activeCell="G47" sqref="G47"/>
      <selection pane="topRight" activeCell="G47" sqref="G47"/>
      <selection pane="bottomLeft" activeCell="G47" sqref="G47"/>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8" t="s">
        <v>78</v>
      </c>
      <c r="E2" s="303" t="s">
        <v>165</v>
      </c>
      <c r="F2" s="294" t="s">
        <v>129</v>
      </c>
      <c r="G2" s="312" t="s">
        <v>194</v>
      </c>
      <c r="H2" s="306" t="s">
        <v>174</v>
      </c>
      <c r="I2" s="296" t="s">
        <v>143</v>
      </c>
    </row>
    <row r="3" spans="1:11" ht="19" x14ac:dyDescent="0.2">
      <c r="A3" s="32" t="str">
        <f>OVERALL!H1</f>
        <v>RED ENERGY</v>
      </c>
      <c r="B3" s="249">
        <f>OVERALL!H3</f>
        <v>0.67870238095238089</v>
      </c>
      <c r="C3" s="109" t="s">
        <v>74</v>
      </c>
      <c r="D3" s="110" t="str">
        <f>IF(D2="-","-",D57)</f>
        <v>-</v>
      </c>
      <c r="E3" s="110">
        <f t="shared" ref="E3:I3" si="0">IF(E2="-","-",E57)</f>
        <v>0.64041666666666663</v>
      </c>
      <c r="F3" s="110">
        <f t="shared" si="0"/>
        <v>0.82669642857142855</v>
      </c>
      <c r="G3" s="110">
        <f t="shared" si="0"/>
        <v>0.63104166666666672</v>
      </c>
      <c r="H3" s="110">
        <f t="shared" si="0"/>
        <v>0.66604166666666664</v>
      </c>
      <c r="I3" s="110">
        <f t="shared" si="0"/>
        <v>0.79002976190476182</v>
      </c>
    </row>
    <row r="4" spans="1:11" ht="18" customHeight="1" x14ac:dyDescent="0.2">
      <c r="A4" s="17" t="str">
        <f>OVERALL!A4</f>
        <v>QUALITY SCORE</v>
      </c>
      <c r="B4" s="38">
        <f>IF(C2=0, "-", IF(COUNTIF(D39:I39, "n")=C2, "-", IF(COUNT(D4:I4)=0, "-", AVERAGE(D4:I4))))</f>
        <v>0.63666666666666671</v>
      </c>
      <c r="C4" s="59" t="s">
        <v>1</v>
      </c>
      <c r="D4" s="38" t="str">
        <f>IF(D48&lt;0%,0%,IF(D$2="-","-",IF(D$39="n", "-", SUM(D$6,D$12,D$17,D$23,D$28,D$34))))</f>
        <v>-</v>
      </c>
      <c r="E4" s="38">
        <f t="shared" ref="E4:I4" si="1">IF(E48&lt;0%,0%,IF(E$2="-","-",IF(E$39="n", "-", SUM(E$6,E$12,E$17,E$23,E$28,E$34))))</f>
        <v>0.50416666666666665</v>
      </c>
      <c r="F4" s="38">
        <f t="shared" si="1"/>
        <v>0.85000000000000009</v>
      </c>
      <c r="G4" s="38">
        <f t="shared" si="1"/>
        <v>0.50416666666666665</v>
      </c>
      <c r="H4" s="38">
        <f t="shared" si="1"/>
        <v>0.5541666666666667</v>
      </c>
      <c r="I4" s="38">
        <f t="shared" si="1"/>
        <v>0.77083333333333326</v>
      </c>
      <c r="K4" s="12" t="s">
        <v>8</v>
      </c>
    </row>
    <row r="5" spans="1:11" ht="18" customHeight="1" x14ac:dyDescent="0.25">
      <c r="A5" s="58" t="s">
        <v>49</v>
      </c>
      <c r="B5" s="59">
        <f>IF(B6="-","-",AVERAGE(D5:I5))</f>
        <v>0.63666666666666671</v>
      </c>
      <c r="C5" s="59" t="s">
        <v>1</v>
      </c>
      <c r="D5" s="61" t="str">
        <f t="shared" ref="D5:I5" si="2">IF(D$2="","",IF(D$39="n", "", SUM(D$6,D$12,D$17,D$23,D$28)))</f>
        <v/>
      </c>
      <c r="E5" s="61">
        <f t="shared" si="2"/>
        <v>0.50416666666666665</v>
      </c>
      <c r="F5" s="61">
        <f t="shared" si="2"/>
        <v>0.85000000000000009</v>
      </c>
      <c r="G5" s="61">
        <f t="shared" si="2"/>
        <v>0.50416666666666665</v>
      </c>
      <c r="H5" s="61">
        <f t="shared" si="2"/>
        <v>0.5541666666666667</v>
      </c>
      <c r="I5" s="61">
        <f t="shared" si="2"/>
        <v>0.77083333333333326</v>
      </c>
      <c r="K5" s="7" t="s">
        <v>17</v>
      </c>
    </row>
    <row r="6" spans="1:11" ht="18" customHeight="1" x14ac:dyDescent="0.2">
      <c r="A6" s="20" t="str">
        <f>OVERALL!A6</f>
        <v>ENGAGE</v>
      </c>
      <c r="B6" s="21">
        <f>IF(C11=0,"-",AVERAGE(B7:B10))</f>
        <v>0.39999999999999997</v>
      </c>
      <c r="C6" s="62" t="s">
        <v>0</v>
      </c>
      <c r="D6" s="28" t="str">
        <f>IF(D11=0,"-",(COUNTIF(D7:D10, "y")/D11)*OVERALL!$C$6)</f>
        <v>-</v>
      </c>
      <c r="E6" s="28">
        <f>IF(E11=0,"-",(COUNTIF(E7:E10, "y")/E11)*OVERALL!$C$6)</f>
        <v>0.05</v>
      </c>
      <c r="F6" s="28">
        <f>IF(F11=0,"-",(COUNTIF(F7:F10, "y")/F11)*OVERALL!$C$6)</f>
        <v>0.1</v>
      </c>
      <c r="G6" s="28">
        <f>IF(G11=0,"-",(COUNTIF(G7:G10, "y")/G11)*OVERALL!$C$6)</f>
        <v>0.05</v>
      </c>
      <c r="H6" s="28">
        <f>IF(H11=0,"-",(COUNTIF(H7:H10, "y")/H11)*OVERALL!$C$6)</f>
        <v>0.05</v>
      </c>
      <c r="I6" s="28">
        <f>IF(I11=0,"-",(COUNTIF(I7:I10, "y")/I11)*OVERALL!$C$6)</f>
        <v>0.15000000000000002</v>
      </c>
    </row>
    <row r="7" spans="1:11" ht="18" customHeight="1" x14ac:dyDescent="0.2">
      <c r="A7" s="33" t="str">
        <f>OVERALL!A7</f>
        <v>WELCOME</v>
      </c>
      <c r="B7" s="3">
        <f>IF(C7=0,"-",COUNTIF(D7:I7,"y")/C7)</f>
        <v>1</v>
      </c>
      <c r="C7" s="26">
        <f>$C$2-COUNTIF(D7:I7, "-")</f>
        <v>5</v>
      </c>
      <c r="D7" s="297" t="s">
        <v>78</v>
      </c>
      <c r="E7" s="304" t="s">
        <v>122</v>
      </c>
      <c r="F7" s="293" t="s">
        <v>122</v>
      </c>
      <c r="G7" s="311" t="s">
        <v>122</v>
      </c>
      <c r="H7" s="305" t="s">
        <v>122</v>
      </c>
      <c r="I7" s="295" t="s">
        <v>122</v>
      </c>
      <c r="K7" s="11" t="s">
        <v>2</v>
      </c>
    </row>
    <row r="8" spans="1:11" ht="18" customHeight="1" x14ac:dyDescent="0.25">
      <c r="A8" s="33" t="str">
        <f>OVERALL!A8</f>
        <v>INTENT</v>
      </c>
      <c r="B8" s="3">
        <f>IF(C8=0,"-",COUNTIF(D8:I8,"y")/C8)</f>
        <v>0.4</v>
      </c>
      <c r="C8" s="26">
        <f>$C$2-COUNTIF(D8:I8, "-")</f>
        <v>5</v>
      </c>
      <c r="D8" s="297" t="s">
        <v>78</v>
      </c>
      <c r="E8" s="304" t="s">
        <v>121</v>
      </c>
      <c r="F8" s="293" t="s">
        <v>122</v>
      </c>
      <c r="G8" s="311" t="s">
        <v>121</v>
      </c>
      <c r="H8" s="305" t="s">
        <v>121</v>
      </c>
      <c r="I8" s="295" t="s">
        <v>122</v>
      </c>
      <c r="K8" s="7" t="s">
        <v>16</v>
      </c>
    </row>
    <row r="9" spans="1:11" ht="18" customHeight="1" x14ac:dyDescent="0.2">
      <c r="A9" s="33" t="str">
        <f>OVERALL!A9</f>
        <v>NAME</v>
      </c>
      <c r="B9" s="3">
        <f>IF(C9=0,"-",COUNTIF(D9:I9,"y")/C9)</f>
        <v>0.2</v>
      </c>
      <c r="C9" s="26">
        <f>$C$2-COUNTIF(D9:I9, "-")</f>
        <v>5</v>
      </c>
      <c r="D9" s="297" t="s">
        <v>78</v>
      </c>
      <c r="E9" s="304" t="s">
        <v>121</v>
      </c>
      <c r="F9" s="293" t="s">
        <v>121</v>
      </c>
      <c r="G9" s="311" t="s">
        <v>121</v>
      </c>
      <c r="H9" s="305" t="s">
        <v>121</v>
      </c>
      <c r="I9" s="295" t="s">
        <v>122</v>
      </c>
      <c r="K9" t="s">
        <v>1</v>
      </c>
    </row>
    <row r="10" spans="1:11" ht="18" customHeight="1" x14ac:dyDescent="0.2">
      <c r="A10" s="33" t="str">
        <f>OVERALL!A10</f>
        <v>BRIDGE</v>
      </c>
      <c r="B10" s="3">
        <f>IF(C10=0,"-",COUNTIF(D10:I10,"y")/C10)</f>
        <v>0</v>
      </c>
      <c r="C10" s="26">
        <f>$C$2-COUNTIF(D10:I10, "-")</f>
        <v>5</v>
      </c>
      <c r="D10" s="297" t="s">
        <v>78</v>
      </c>
      <c r="E10" s="304" t="s">
        <v>121</v>
      </c>
      <c r="F10" s="293" t="s">
        <v>121</v>
      </c>
      <c r="G10" s="311" t="s">
        <v>121</v>
      </c>
      <c r="H10" s="305" t="s">
        <v>121</v>
      </c>
      <c r="I10" s="295" t="s">
        <v>121</v>
      </c>
      <c r="K10" s="13" t="s">
        <v>3</v>
      </c>
    </row>
    <row r="11" spans="1:11" ht="18" customHeight="1" x14ac:dyDescent="0.25">
      <c r="A11" s="2"/>
      <c r="C11" s="64">
        <f>AVERAGE(C7:C10)</f>
        <v>5</v>
      </c>
      <c r="D11" s="27">
        <f t="shared" ref="D11:I11" si="3">COUNTA(D7:D10)-COUNTIF(D7:D10, "-")</f>
        <v>0</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0.53333333333333333</v>
      </c>
      <c r="C12" s="1" t="s">
        <v>1</v>
      </c>
      <c r="D12" s="28" t="str">
        <f>IF(D16=0,"-",(COUNTIF(D13:D15, "y")/D16)*OVERALL!$C$12)</f>
        <v>-</v>
      </c>
      <c r="E12" s="28">
        <f>IF(E16=0,"-",(COUNTIF(E13:E15, "y")/E16)*OVERALL!$C$12)</f>
        <v>6.6666666666666666E-2</v>
      </c>
      <c r="F12" s="28">
        <f>IF(F16=0,"-",(COUNTIF(F13:F15, "y")/F16)*OVERALL!$C$12)</f>
        <v>0.2</v>
      </c>
      <c r="G12" s="28">
        <f>IF(G16=0,"-",(COUNTIF(G13:G15, "y")/G16)*OVERALL!$C$12)</f>
        <v>6.6666666666666666E-2</v>
      </c>
      <c r="H12" s="28">
        <f>IF(H16=0,"-",(COUNTIF(H13:H15, "y")/H16)*OVERALL!$C$12)</f>
        <v>6.6666666666666666E-2</v>
      </c>
      <c r="I12" s="28">
        <f>IF(I16=0,"-",(COUNTIF(I13:I15, "y")/I16)*OVERALL!$C$12)</f>
        <v>0.13333333333333333</v>
      </c>
      <c r="K12" t="s">
        <v>1</v>
      </c>
    </row>
    <row r="13" spans="1:11" ht="18" customHeight="1" x14ac:dyDescent="0.2">
      <c r="A13" s="33" t="str">
        <f>OVERALL!A13</f>
        <v>CONVERSE</v>
      </c>
      <c r="B13" s="3">
        <f>IF(C13=0,"-",COUNTIF(D13:I13,"y")/C13)</f>
        <v>0.2</v>
      </c>
      <c r="C13" s="26">
        <f>$C$2-COUNTIF(D13:I13, "-")</f>
        <v>5</v>
      </c>
      <c r="D13" s="297" t="s">
        <v>78</v>
      </c>
      <c r="E13" s="304" t="s">
        <v>121</v>
      </c>
      <c r="F13" s="293" t="s">
        <v>122</v>
      </c>
      <c r="G13" s="311" t="s">
        <v>121</v>
      </c>
      <c r="H13" s="305" t="s">
        <v>121</v>
      </c>
      <c r="I13" s="295" t="s">
        <v>121</v>
      </c>
      <c r="K13" s="14" t="s">
        <v>4</v>
      </c>
    </row>
    <row r="14" spans="1:11" ht="18" customHeight="1" x14ac:dyDescent="0.25">
      <c r="A14" s="33" t="str">
        <f>OVERALL!A14</f>
        <v>LISTEN</v>
      </c>
      <c r="B14" s="3">
        <f>IF(C14=0,"-",COUNTIF(D14:I14,"y")/C14)</f>
        <v>1</v>
      </c>
      <c r="C14" s="26">
        <f>$C$2-COUNTIF(D14:I14, "-")</f>
        <v>5</v>
      </c>
      <c r="D14" s="297" t="s">
        <v>78</v>
      </c>
      <c r="E14" s="304" t="s">
        <v>122</v>
      </c>
      <c r="F14" s="293" t="s">
        <v>122</v>
      </c>
      <c r="G14" s="311" t="s">
        <v>122</v>
      </c>
      <c r="H14" s="305" t="s">
        <v>122</v>
      </c>
      <c r="I14" s="295" t="s">
        <v>122</v>
      </c>
      <c r="K14" s="9" t="s">
        <v>14</v>
      </c>
    </row>
    <row r="15" spans="1:11" ht="18" customHeight="1" x14ac:dyDescent="0.2">
      <c r="A15" s="33" t="str">
        <f>OVERALL!A15</f>
        <v>CONFIRM</v>
      </c>
      <c r="B15" s="3">
        <f>IF(C15=0,"-",COUNTIF(D15:I15,"y")/C15)</f>
        <v>0.4</v>
      </c>
      <c r="C15" s="26">
        <f>$C$2-COUNTIF(D15:I15, "-")</f>
        <v>5</v>
      </c>
      <c r="D15" s="297" t="s">
        <v>78</v>
      </c>
      <c r="E15" s="304" t="s">
        <v>121</v>
      </c>
      <c r="F15" s="293" t="s">
        <v>122</v>
      </c>
      <c r="G15" s="311" t="s">
        <v>121</v>
      </c>
      <c r="H15" s="305" t="s">
        <v>121</v>
      </c>
      <c r="I15" s="295" t="s">
        <v>122</v>
      </c>
      <c r="J15" t="s">
        <v>1</v>
      </c>
    </row>
    <row r="16" spans="1:11" ht="18" customHeight="1" x14ac:dyDescent="0.2">
      <c r="A16" s="2"/>
      <c r="C16" s="64">
        <f>AVERAGE(C13:C15)</f>
        <v>5</v>
      </c>
      <c r="D16" s="27">
        <f t="shared" ref="D16:I16" si="4">COUNTA(D13:D15)-COUNTIF(D13:D15, "-")</f>
        <v>0</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0.8</v>
      </c>
      <c r="C17" s="1" t="s">
        <v>1</v>
      </c>
      <c r="D17" s="29" t="str">
        <f>IF(D22=0,"-",(COUNTIF(D18:D21, "y")/D22)*OVERALL!$C$17)</f>
        <v>-</v>
      </c>
      <c r="E17" s="29">
        <f>IF(E22=0,"-",(COUNTIF(E18:E21, "y")/E22)*OVERALL!$C$17)</f>
        <v>0.1875</v>
      </c>
      <c r="F17" s="29">
        <f>IF(F22=0,"-",(COUNTIF(F18:F21, "y")/F22)*OVERALL!$C$17)</f>
        <v>0.25</v>
      </c>
      <c r="G17" s="29">
        <f>IF(G22=0,"-",(COUNTIF(G18:G21, "y")/G22)*OVERALL!$C$17)</f>
        <v>0.1875</v>
      </c>
      <c r="H17" s="29">
        <f>IF(H22=0,"-",(COUNTIF(H18:H21, "y")/H22)*OVERALL!$C$17)</f>
        <v>0.1875</v>
      </c>
      <c r="I17" s="29">
        <f>IF(I22=0,"-",(COUNTIF(I18:I21, "y")/I22)*OVERALL!$C$17)</f>
        <v>0.1875</v>
      </c>
      <c r="K17" s="9" t="s">
        <v>6</v>
      </c>
    </row>
    <row r="18" spans="1:14" ht="18" customHeight="1" x14ac:dyDescent="0.2">
      <c r="A18" s="33" t="str">
        <f>OVERALL!A18</f>
        <v>INFORM</v>
      </c>
      <c r="B18" s="3">
        <f>IF(C18=0,"-",COUNTIF(D18:I18,"y")/C18)</f>
        <v>1</v>
      </c>
      <c r="C18" s="26">
        <f>$C$2-COUNTIF(D18:I18, "-")</f>
        <v>5</v>
      </c>
      <c r="D18" s="297" t="s">
        <v>78</v>
      </c>
      <c r="E18" s="304" t="s">
        <v>122</v>
      </c>
      <c r="F18" s="293" t="s">
        <v>122</v>
      </c>
      <c r="G18" s="311" t="s">
        <v>122</v>
      </c>
      <c r="H18" s="305" t="s">
        <v>122</v>
      </c>
      <c r="I18" s="295" t="s">
        <v>122</v>
      </c>
    </row>
    <row r="19" spans="1:14" ht="18" customHeight="1" x14ac:dyDescent="0.2">
      <c r="A19" s="33" t="str">
        <f>OVERALL!A19</f>
        <v>CHECK</v>
      </c>
      <c r="B19" s="3">
        <f>IF(C19=0,"-",COUNTIF(D19:I19,"y")/C19)</f>
        <v>0.2</v>
      </c>
      <c r="C19" s="26">
        <f>$C$2-COUNTIF(D19:I19, "-")</f>
        <v>5</v>
      </c>
      <c r="D19" s="297" t="s">
        <v>78</v>
      </c>
      <c r="E19" s="304" t="s">
        <v>121</v>
      </c>
      <c r="F19" s="293" t="s">
        <v>122</v>
      </c>
      <c r="G19" s="311" t="s">
        <v>121</v>
      </c>
      <c r="H19" s="305" t="s">
        <v>121</v>
      </c>
      <c r="I19" s="295" t="s">
        <v>121</v>
      </c>
    </row>
    <row r="20" spans="1:14" ht="18" customHeight="1" x14ac:dyDescent="0.2">
      <c r="A20" s="33" t="str">
        <f>OVERALL!A20</f>
        <v>SEEK</v>
      </c>
      <c r="B20" s="3">
        <f>IF(C20=0,"-",COUNTIF(D20:I20,"y")/C20)</f>
        <v>1</v>
      </c>
      <c r="C20" s="26">
        <f>$C$2-COUNTIF(D20:I20, "-")</f>
        <v>5</v>
      </c>
      <c r="D20" s="297" t="s">
        <v>78</v>
      </c>
      <c r="E20" s="304" t="s">
        <v>122</v>
      </c>
      <c r="F20" s="293" t="s">
        <v>122</v>
      </c>
      <c r="G20" s="311" t="s">
        <v>122</v>
      </c>
      <c r="H20" s="305" t="s">
        <v>122</v>
      </c>
      <c r="I20" s="295" t="s">
        <v>122</v>
      </c>
      <c r="K20" t="s">
        <v>1</v>
      </c>
    </row>
    <row r="21" spans="1:14" ht="18" customHeight="1" x14ac:dyDescent="0.2">
      <c r="A21" s="33" t="str">
        <f>OVERALL!A21</f>
        <v>CONFIDENCE</v>
      </c>
      <c r="B21" s="3">
        <f>IF(C21=0,"-",COUNTIF(D21:I21,"y")/C21)</f>
        <v>1</v>
      </c>
      <c r="C21" s="26">
        <f>$C$2-COUNTIF(D21:I21, "-")</f>
        <v>5</v>
      </c>
      <c r="D21" s="297" t="s">
        <v>78</v>
      </c>
      <c r="E21" s="304" t="s">
        <v>122</v>
      </c>
      <c r="F21" s="293" t="s">
        <v>122</v>
      </c>
      <c r="G21" s="311" t="s">
        <v>122</v>
      </c>
      <c r="H21" s="305" t="s">
        <v>122</v>
      </c>
      <c r="I21" s="295" t="s">
        <v>122</v>
      </c>
    </row>
    <row r="22" spans="1:14" ht="18" customHeight="1" x14ac:dyDescent="0.2">
      <c r="A22" s="2"/>
      <c r="C22" s="64">
        <f>AVERAGE(C18:C21)</f>
        <v>5</v>
      </c>
      <c r="D22" s="27">
        <f t="shared" ref="D22:I22" si="5">COUNTA(D18:D21)-COUNTIF(D18:D21, "-")</f>
        <v>0</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0.53333333333333333</v>
      </c>
      <c r="C23" s="1" t="s">
        <v>1</v>
      </c>
      <c r="D23" s="29" t="str">
        <f>IF(D27=0,"-",(COUNTIF(D24:D26, "y")/D27)*OVERALL!$C$23)</f>
        <v>-</v>
      </c>
      <c r="E23" s="29">
        <f>IF(E27=0,"-",(COUNTIF(E24:E26, "y")/E27)*OVERALL!$C$23)</f>
        <v>9.9999999999999992E-2</v>
      </c>
      <c r="F23" s="29">
        <f>IF(F27=0,"-",(COUNTIF(F24:F26, "y")/F27)*OVERALL!$C$23)</f>
        <v>9.9999999999999992E-2</v>
      </c>
      <c r="G23" s="29">
        <f>IF(G27=0,"-",(COUNTIF(G24:G26, "y")/G27)*OVERALL!$C$23)</f>
        <v>4.9999999999999996E-2</v>
      </c>
      <c r="H23" s="29">
        <f>IF(H27=0,"-",(COUNTIF(H24:H26, "y")/H27)*OVERALL!$C$23)</f>
        <v>4.9999999999999996E-2</v>
      </c>
      <c r="I23" s="29">
        <f>IF(I27=0,"-",(COUNTIF(I24:I26, "y")/I27)*OVERALL!$C$23)</f>
        <v>9.9999999999999992E-2</v>
      </c>
    </row>
    <row r="24" spans="1:14" ht="18" customHeight="1" x14ac:dyDescent="0.2">
      <c r="A24" s="33" t="str">
        <f>OVERALL!A24</f>
        <v>QUESTIONS</v>
      </c>
      <c r="B24" s="3">
        <f>IF(C24=0,"-",COUNTIF(D24:I24,"y")/C24)</f>
        <v>0.2</v>
      </c>
      <c r="C24" s="26">
        <f>$C$2-COUNTIF(D24:I24, "-")</f>
        <v>5</v>
      </c>
      <c r="D24" s="297" t="s">
        <v>78</v>
      </c>
      <c r="E24" s="304" t="s">
        <v>122</v>
      </c>
      <c r="F24" s="293" t="s">
        <v>121</v>
      </c>
      <c r="G24" s="311" t="s">
        <v>121</v>
      </c>
      <c r="H24" s="305" t="s">
        <v>121</v>
      </c>
      <c r="I24" s="295" t="s">
        <v>121</v>
      </c>
    </row>
    <row r="25" spans="1:14" ht="18" customHeight="1" x14ac:dyDescent="0.2">
      <c r="A25" s="33" t="str">
        <f>OVERALL!A25</f>
        <v>GRATITUDE</v>
      </c>
      <c r="B25" s="3">
        <f>IF(C25=0,"-",COUNTIF(D25:I25,"y")/C25)</f>
        <v>0.4</v>
      </c>
      <c r="C25" s="26">
        <f>$C$2-COUNTIF(D25:I25, "-")</f>
        <v>5</v>
      </c>
      <c r="D25" s="297" t="s">
        <v>78</v>
      </c>
      <c r="E25" s="304" t="s">
        <v>121</v>
      </c>
      <c r="F25" s="293" t="s">
        <v>122</v>
      </c>
      <c r="G25" s="311" t="s">
        <v>121</v>
      </c>
      <c r="H25" s="305" t="s">
        <v>121</v>
      </c>
      <c r="I25" s="295" t="s">
        <v>122</v>
      </c>
    </row>
    <row r="26" spans="1:14" ht="18" customHeight="1" x14ac:dyDescent="0.2">
      <c r="A26" s="33" t="str">
        <f>OVERALL!A26</f>
        <v>THANKS</v>
      </c>
      <c r="B26" s="3">
        <f>IF(C26=0,"-",COUNTIF(D26:I26,"y")/C26)</f>
        <v>1</v>
      </c>
      <c r="C26" s="26">
        <f>$C$2-COUNTIF(D26:I26, "-")</f>
        <v>5</v>
      </c>
      <c r="D26" s="297" t="s">
        <v>78</v>
      </c>
      <c r="E26" s="304" t="s">
        <v>122</v>
      </c>
      <c r="F26" s="293" t="s">
        <v>122</v>
      </c>
      <c r="G26" s="311" t="s">
        <v>122</v>
      </c>
      <c r="H26" s="305" t="s">
        <v>122</v>
      </c>
      <c r="I26" s="295" t="s">
        <v>122</v>
      </c>
    </row>
    <row r="27" spans="1:14" ht="18" customHeight="1" x14ac:dyDescent="0.2">
      <c r="A27" s="2"/>
      <c r="C27" s="64">
        <f>AVERAGE(C24:C26)</f>
        <v>5</v>
      </c>
      <c r="D27" s="27">
        <f t="shared" ref="D27:I27" si="6">COUNTA(D24:D26)-COUNTIF(D24:D26, "-")</f>
        <v>0</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0.85</v>
      </c>
      <c r="C28" s="1" t="s">
        <v>1</v>
      </c>
      <c r="D28" s="29" t="str">
        <f>IF(D33=0,"-",(COUNTIF(D29:D32, "y")/D33)*OVERALL!$C$28)</f>
        <v>-</v>
      </c>
      <c r="E28" s="29">
        <f>IF(E33=0,"-",(COUNTIF(E29:E32, "y")/E33)*OVERALL!$C$28)</f>
        <v>0.1</v>
      </c>
      <c r="F28" s="29">
        <f>IF(F33=0,"-",(COUNTIF(F29:F32, "y")/F33)*OVERALL!$C$28)</f>
        <v>0.2</v>
      </c>
      <c r="G28" s="29">
        <f>IF(G33=0,"-",(COUNTIF(G29:G32, "y")/G33)*OVERALL!$C$28)</f>
        <v>0.15000000000000002</v>
      </c>
      <c r="H28" s="29">
        <f>IF(H33=0,"-",(COUNTIF(H29:H32, "y")/H33)*OVERALL!$C$28)</f>
        <v>0.2</v>
      </c>
      <c r="I28" s="29">
        <f>IF(I33=0,"-",(COUNTIF(I29:I32, "y")/I33)*OVERALL!$C$28)</f>
        <v>0.2</v>
      </c>
    </row>
    <row r="29" spans="1:14" ht="18" customHeight="1" x14ac:dyDescent="0.2">
      <c r="A29" s="33" t="str">
        <f>OVERALL!A29</f>
        <v>VIBRANCY</v>
      </c>
      <c r="B29" s="3">
        <f>IF(C29=0,"-",COUNTIF(D29:I29,"y")/C29)</f>
        <v>1</v>
      </c>
      <c r="C29" s="26">
        <f>$C$2-COUNTIF(D29:I29, "-")</f>
        <v>5</v>
      </c>
      <c r="D29" s="297" t="s">
        <v>78</v>
      </c>
      <c r="E29" s="304" t="s">
        <v>122</v>
      </c>
      <c r="F29" s="293" t="s">
        <v>122</v>
      </c>
      <c r="G29" s="311" t="s">
        <v>122</v>
      </c>
      <c r="H29" s="305" t="s">
        <v>122</v>
      </c>
      <c r="I29" s="295" t="s">
        <v>122</v>
      </c>
    </row>
    <row r="30" spans="1:14" ht="18" customHeight="1" x14ac:dyDescent="0.2">
      <c r="A30" s="33" t="str">
        <f>OVERALL!A30</f>
        <v>EMPATHY</v>
      </c>
      <c r="B30" s="3">
        <f>IF(C30=0,"-",COUNTIF(D30:I30,"y")/C30)</f>
        <v>1</v>
      </c>
      <c r="C30" s="26">
        <f>$C$2-COUNTIF(D30:I30, "-")</f>
        <v>5</v>
      </c>
      <c r="D30" s="297" t="s">
        <v>78</v>
      </c>
      <c r="E30" s="304" t="s">
        <v>122</v>
      </c>
      <c r="F30" s="293" t="s">
        <v>122</v>
      </c>
      <c r="G30" s="311" t="s">
        <v>122</v>
      </c>
      <c r="H30" s="305" t="s">
        <v>122</v>
      </c>
      <c r="I30" s="295" t="s">
        <v>122</v>
      </c>
    </row>
    <row r="31" spans="1:14" ht="18" customHeight="1" x14ac:dyDescent="0.2">
      <c r="A31" s="33" t="str">
        <f>OVERALL!A31</f>
        <v>CONTROL</v>
      </c>
      <c r="B31" s="3">
        <f>IF(C31=0,"-",COUNTIF(D31:I31,"y")/C31)</f>
        <v>0.8</v>
      </c>
      <c r="C31" s="26">
        <f>$C$2-COUNTIF(D31:I31, "-")</f>
        <v>5</v>
      </c>
      <c r="D31" s="297" t="s">
        <v>78</v>
      </c>
      <c r="E31" s="304" t="s">
        <v>121</v>
      </c>
      <c r="F31" s="293" t="s">
        <v>122</v>
      </c>
      <c r="G31" s="311" t="s">
        <v>122</v>
      </c>
      <c r="H31" s="305" t="s">
        <v>122</v>
      </c>
      <c r="I31" s="295" t="s">
        <v>122</v>
      </c>
    </row>
    <row r="32" spans="1:14" ht="18" customHeight="1" x14ac:dyDescent="0.2">
      <c r="A32" s="33" t="str">
        <f>OVERALL!A32</f>
        <v>CLARITY</v>
      </c>
      <c r="B32" s="3">
        <f>IF(C32=0,"-",COUNTIF(D32:I32,"y")/C32)</f>
        <v>0.6</v>
      </c>
      <c r="C32" s="26">
        <f>$C$2-COUNTIF(D32:I32, "-")</f>
        <v>5</v>
      </c>
      <c r="D32" s="297" t="s">
        <v>78</v>
      </c>
      <c r="E32" s="304" t="s">
        <v>121</v>
      </c>
      <c r="F32" s="293" t="s">
        <v>122</v>
      </c>
      <c r="G32" s="311" t="s">
        <v>121</v>
      </c>
      <c r="H32" s="305" t="s">
        <v>122</v>
      </c>
      <c r="I32" s="295" t="s">
        <v>122</v>
      </c>
      <c r="N32" t="s">
        <v>1</v>
      </c>
    </row>
    <row r="33" spans="1:16" ht="18" customHeight="1" x14ac:dyDescent="0.2">
      <c r="A33" s="5"/>
      <c r="B33" s="6"/>
      <c r="C33" s="64">
        <f>AVERAGE(C29:C32)</f>
        <v>5</v>
      </c>
      <c r="D33" s="27">
        <f t="shared" ref="D33:I33" si="7">COUNTA(D29:D32)-COUNTIF(D29:D32, "-")</f>
        <v>0</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5</v>
      </c>
      <c r="D35" s="297" t="s">
        <v>78</v>
      </c>
      <c r="E35" s="304" t="s">
        <v>121</v>
      </c>
      <c r="F35" s="293" t="s">
        <v>121</v>
      </c>
      <c r="G35" s="311" t="s">
        <v>121</v>
      </c>
      <c r="H35" s="305" t="s">
        <v>121</v>
      </c>
      <c r="I35" s="295" t="s">
        <v>121</v>
      </c>
      <c r="K35" s="48">
        <v>-0.3</v>
      </c>
      <c r="M35" s="48"/>
      <c r="N35" s="48"/>
      <c r="O35" s="48"/>
    </row>
    <row r="36" spans="1:16" ht="18" customHeight="1" x14ac:dyDescent="0.2">
      <c r="A36" s="45" t="str">
        <f>OVERALL!A36</f>
        <v>AUDIO ISSUE (DISTRACTION)</v>
      </c>
      <c r="B36" s="3">
        <f>IF(C36=0,"-",COUNTIF(D36:I36,"y")/C36)</f>
        <v>0</v>
      </c>
      <c r="C36" s="26">
        <f>$C$2-COUNTIF(D36:I36, "-")</f>
        <v>5</v>
      </c>
      <c r="D36" s="297" t="s">
        <v>78</v>
      </c>
      <c r="E36" s="304" t="s">
        <v>121</v>
      </c>
      <c r="F36" s="293" t="s">
        <v>121</v>
      </c>
      <c r="G36" s="311" t="s">
        <v>121</v>
      </c>
      <c r="H36" s="305" t="s">
        <v>121</v>
      </c>
      <c r="I36" s="295" t="s">
        <v>121</v>
      </c>
      <c r="K36" s="48">
        <v>-0.1</v>
      </c>
      <c r="M36" s="48"/>
      <c r="N36" s="48"/>
      <c r="O36" s="48"/>
    </row>
    <row r="37" spans="1:16" ht="18" customHeight="1" x14ac:dyDescent="0.2">
      <c r="A37" s="5"/>
      <c r="B37" s="6"/>
      <c r="C37" s="64">
        <f>C35</f>
        <v>5</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3" t="str">
        <f>OVERALL!A38</f>
        <v>ADDITIONAL INSIGHT</v>
      </c>
      <c r="B38" s="354"/>
      <c r="C38" s="10" t="s">
        <v>1</v>
      </c>
      <c r="D38" s="30"/>
      <c r="E38" s="30"/>
      <c r="F38" s="30"/>
      <c r="G38" s="30"/>
      <c r="H38" s="30"/>
      <c r="I38" s="30"/>
    </row>
    <row r="39" spans="1:16" ht="18" customHeight="1" x14ac:dyDescent="0.2">
      <c r="A39" s="33" t="str">
        <f>OVERALL!A39</f>
        <v>CALL ANSWERED-QUALITY</v>
      </c>
      <c r="B39" s="3">
        <f>IF(C39=0,"-",COUNTIF(D39:I39, "y")/C39)</f>
        <v>0.83333333333333337</v>
      </c>
      <c r="C39" s="26">
        <f t="shared" ref="C39:C45" si="10">$C$2-COUNTIF(D39:I39, "-")</f>
        <v>6</v>
      </c>
      <c r="D39" s="297" t="s">
        <v>121</v>
      </c>
      <c r="E39" s="304" t="s">
        <v>122</v>
      </c>
      <c r="F39" s="293" t="s">
        <v>122</v>
      </c>
      <c r="G39" s="311" t="s">
        <v>122</v>
      </c>
      <c r="H39" s="305" t="s">
        <v>122</v>
      </c>
      <c r="I39" s="295" t="s">
        <v>122</v>
      </c>
    </row>
    <row r="40" spans="1:16" ht="18" customHeight="1" x14ac:dyDescent="0.2">
      <c r="A40" s="33" t="str">
        <f>OVERALL!A40</f>
        <v>TALK TIME</v>
      </c>
      <c r="B40" s="283">
        <f>IF(C40=0,"-",AVERAGE(D40:I40))</f>
        <v>6.3541666666666659E-3</v>
      </c>
      <c r="C40" s="26">
        <f t="shared" si="10"/>
        <v>5</v>
      </c>
      <c r="D40" s="299" t="s">
        <v>78</v>
      </c>
      <c r="E40" s="287">
        <v>6.9097222222222225E-3</v>
      </c>
      <c r="F40" s="287">
        <v>7.766203703703704E-3</v>
      </c>
      <c r="G40" s="287">
        <v>5.5902777777777773E-3</v>
      </c>
      <c r="H40" s="287">
        <v>5.7523148148148151E-3</v>
      </c>
      <c r="I40" s="287">
        <v>5.7523148148148151E-3</v>
      </c>
      <c r="J40" s="46"/>
      <c r="K40" s="267"/>
      <c r="L40" s="267"/>
      <c r="M40" s="267"/>
      <c r="N40" s="267"/>
      <c r="O40" s="267"/>
      <c r="P40" s="267"/>
    </row>
    <row r="41" spans="1:16" ht="18" customHeight="1" x14ac:dyDescent="0.2">
      <c r="A41" s="33" t="str">
        <f>OVERALL!A41</f>
        <v>ASSESSOR RATING (0-10)</v>
      </c>
      <c r="B41" s="289">
        <f>IF(C41=0,"-",SUM(D41:I41)/C41)</f>
        <v>6</v>
      </c>
      <c r="C41" s="26">
        <f t="shared" si="10"/>
        <v>5</v>
      </c>
      <c r="D41" s="300" t="s">
        <v>78</v>
      </c>
      <c r="E41" s="291">
        <v>5</v>
      </c>
      <c r="F41" s="291">
        <v>8</v>
      </c>
      <c r="G41" s="291">
        <v>5</v>
      </c>
      <c r="H41" s="291">
        <v>5</v>
      </c>
      <c r="I41" s="291">
        <v>7</v>
      </c>
    </row>
    <row r="42" spans="1:16" ht="18" customHeight="1" x14ac:dyDescent="0.2">
      <c r="A42" s="33" t="str">
        <f>OVERALL!A42</f>
        <v>EXPLAINED KEY FEATURES</v>
      </c>
      <c r="B42" s="3">
        <f>IF(C42=0,"-",COUNTIF(D42:I42, "y")/C42)</f>
        <v>1</v>
      </c>
      <c r="C42" s="26">
        <f t="shared" si="10"/>
        <v>5</v>
      </c>
      <c r="D42" s="297" t="s">
        <v>78</v>
      </c>
      <c r="E42" s="304" t="s">
        <v>122</v>
      </c>
      <c r="F42" s="293" t="s">
        <v>122</v>
      </c>
      <c r="G42" s="311" t="s">
        <v>122</v>
      </c>
      <c r="H42" s="305" t="s">
        <v>122</v>
      </c>
      <c r="I42" s="295" t="s">
        <v>122</v>
      </c>
      <c r="J42" s="47"/>
      <c r="K42" t="s">
        <v>1</v>
      </c>
    </row>
    <row r="43" spans="1:16" ht="18" customHeight="1" x14ac:dyDescent="0.2">
      <c r="A43" s="33" t="str">
        <f>OVERALL!A43</f>
        <v>REVEALED PRICING</v>
      </c>
      <c r="B43" s="3">
        <f>IF(C43=0,"-",COUNTIF(D43:I43, "y")/C43)</f>
        <v>1</v>
      </c>
      <c r="C43" s="26">
        <f t="shared" si="10"/>
        <v>5</v>
      </c>
      <c r="D43" s="297" t="s">
        <v>78</v>
      </c>
      <c r="E43" s="304" t="s">
        <v>122</v>
      </c>
      <c r="F43" s="293" t="s">
        <v>122</v>
      </c>
      <c r="G43" s="311" t="s">
        <v>122</v>
      </c>
      <c r="H43" s="305" t="s">
        <v>122</v>
      </c>
      <c r="I43" s="295" t="s">
        <v>122</v>
      </c>
    </row>
    <row r="44" spans="1:16" ht="18" customHeight="1" x14ac:dyDescent="0.2">
      <c r="A44" s="33" t="str">
        <f>OVERALL!A44</f>
        <v>EXPLAINED ACTIONS &amp; PROCESS</v>
      </c>
      <c r="B44" s="3">
        <f>IF(C44=0,"-",COUNTIF(D44:I44, "y")/C44)</f>
        <v>1</v>
      </c>
      <c r="C44" s="26">
        <f t="shared" si="10"/>
        <v>5</v>
      </c>
      <c r="D44" s="297" t="s">
        <v>78</v>
      </c>
      <c r="E44" s="304" t="s">
        <v>122</v>
      </c>
      <c r="F44" s="293" t="s">
        <v>122</v>
      </c>
      <c r="G44" s="311" t="s">
        <v>122</v>
      </c>
      <c r="H44" s="305" t="s">
        <v>122</v>
      </c>
      <c r="I44" s="295" t="s">
        <v>122</v>
      </c>
    </row>
    <row r="45" spans="1:16" ht="18" customHeight="1" x14ac:dyDescent="0.2">
      <c r="A45" s="33" t="str">
        <f>OVERALL!A45</f>
        <v>WEBSITE EDUCATION</v>
      </c>
      <c r="B45" s="3">
        <f>IF(C45=0,"-",COUNTIF(D45:I45, "y")/C45)</f>
        <v>0</v>
      </c>
      <c r="C45" s="26">
        <f t="shared" si="10"/>
        <v>5</v>
      </c>
      <c r="D45" s="297" t="s">
        <v>78</v>
      </c>
      <c r="E45" s="304" t="s">
        <v>121</v>
      </c>
      <c r="F45" s="293" t="s">
        <v>121</v>
      </c>
      <c r="G45" s="311" t="s">
        <v>121</v>
      </c>
      <c r="H45" s="305" t="s">
        <v>121</v>
      </c>
      <c r="I45" s="295" t="s">
        <v>121</v>
      </c>
    </row>
    <row r="46" spans="1:16" ht="18" customHeight="1" x14ac:dyDescent="0.2">
      <c r="A46" s="18"/>
      <c r="B46" s="3"/>
      <c r="C46" s="26"/>
      <c r="D46" s="265"/>
      <c r="E46" s="265"/>
      <c r="F46" s="265"/>
      <c r="G46" s="265"/>
      <c r="H46" s="265"/>
      <c r="I46" s="265"/>
    </row>
    <row r="47" spans="1:16" ht="165" x14ac:dyDescent="0.2">
      <c r="A47" s="25" t="s">
        <v>1</v>
      </c>
      <c r="B47" s="355" t="s">
        <v>36</v>
      </c>
      <c r="C47" s="356"/>
      <c r="D47" s="23" t="s">
        <v>156</v>
      </c>
      <c r="E47" s="23" t="s">
        <v>166</v>
      </c>
      <c r="F47" s="23" t="s">
        <v>130</v>
      </c>
      <c r="G47" s="23" t="s">
        <v>195</v>
      </c>
      <c r="H47" s="23" t="s">
        <v>175</v>
      </c>
      <c r="I47" s="23" t="s">
        <v>144</v>
      </c>
    </row>
    <row r="48" spans="1:16" ht="18" customHeight="1" x14ac:dyDescent="0.2">
      <c r="A48" s="60" t="s">
        <v>48</v>
      </c>
      <c r="D48" s="51" t="str">
        <f t="shared" ref="D48:I48" si="11">IF(D$2="","",IF(D$39="n", "", SUM(D$6,D$12,D$17,D$23,D$28,D$34)))</f>
        <v/>
      </c>
      <c r="E48" s="51">
        <f t="shared" si="11"/>
        <v>0.50416666666666665</v>
      </c>
      <c r="F48" s="51">
        <f t="shared" si="11"/>
        <v>0.85000000000000009</v>
      </c>
      <c r="G48" s="51">
        <f t="shared" si="11"/>
        <v>0.50416666666666665</v>
      </c>
      <c r="H48" s="51">
        <f t="shared" si="11"/>
        <v>0.5541666666666667</v>
      </c>
      <c r="I48" s="51">
        <f t="shared" si="11"/>
        <v>0.77083333333333326</v>
      </c>
    </row>
    <row r="50" spans="1:9" ht="19" x14ac:dyDescent="0.25">
      <c r="A50" s="111" t="s">
        <v>75</v>
      </c>
      <c r="B50" s="91" t="s">
        <v>76</v>
      </c>
    </row>
    <row r="51" spans="1:9" x14ac:dyDescent="0.2">
      <c r="A51" s="112" t="s">
        <v>64</v>
      </c>
      <c r="B51" s="113">
        <v>0.3</v>
      </c>
      <c r="C51" s="112"/>
      <c r="D51" s="257">
        <f>'[1]RED ENERGY'!D$4</f>
        <v>0.2410714285714286</v>
      </c>
      <c r="E51" s="257">
        <f>'[1]RED ENERGY'!E$4</f>
        <v>0.95833333333333337</v>
      </c>
      <c r="F51" s="257">
        <f>'[1]RED ENERGY'!F$4</f>
        <v>0.7723214285714286</v>
      </c>
      <c r="G51" s="257">
        <f>'[1]RED ENERGY'!G$4</f>
        <v>0.92708333333333337</v>
      </c>
      <c r="H51" s="257">
        <f>'[1]RED ENERGY'!H$4</f>
        <v>0.92708333333333337</v>
      </c>
      <c r="I51" s="257">
        <f>'[1]RED ENERGY'!I$4</f>
        <v>0.8348214285714286</v>
      </c>
    </row>
    <row r="52" spans="1:9" x14ac:dyDescent="0.2">
      <c r="A52" s="112" t="s">
        <v>65</v>
      </c>
      <c r="B52" s="113">
        <v>0.7</v>
      </c>
      <c r="C52" s="112"/>
      <c r="D52" s="258" t="str">
        <f t="shared" ref="D52:I52" si="12">D4</f>
        <v>-</v>
      </c>
      <c r="E52" s="258">
        <f t="shared" si="12"/>
        <v>0.50416666666666665</v>
      </c>
      <c r="F52" s="258">
        <f t="shared" si="12"/>
        <v>0.85000000000000009</v>
      </c>
      <c r="G52" s="258">
        <f t="shared" si="12"/>
        <v>0.50416666666666665</v>
      </c>
      <c r="H52" s="258">
        <f t="shared" si="12"/>
        <v>0.5541666666666667</v>
      </c>
      <c r="I52" s="258">
        <f t="shared" si="12"/>
        <v>0.77083333333333326</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7.2321428571428578E-2</v>
      </c>
      <c r="E55" s="258">
        <f t="shared" ref="E55:I55" si="13">IF(E51="-","-",E51*$B$51)</f>
        <v>0.28749999999999998</v>
      </c>
      <c r="F55" s="258">
        <f t="shared" si="13"/>
        <v>0.23169642857142858</v>
      </c>
      <c r="G55" s="258">
        <f t="shared" si="13"/>
        <v>0.27812500000000001</v>
      </c>
      <c r="H55" s="258">
        <f t="shared" si="13"/>
        <v>0.27812500000000001</v>
      </c>
      <c r="I55" s="258">
        <f t="shared" si="13"/>
        <v>0.25044642857142857</v>
      </c>
    </row>
    <row r="56" spans="1:9" x14ac:dyDescent="0.2">
      <c r="A56" s="112" t="s">
        <v>65</v>
      </c>
      <c r="B56" s="112"/>
      <c r="C56" s="112"/>
      <c r="D56" s="258" t="str">
        <f t="shared" ref="D56:I56" si="14">IF(D52="-","-",D52*$B$52)</f>
        <v>-</v>
      </c>
      <c r="E56" s="258">
        <f t="shared" si="14"/>
        <v>0.35291666666666666</v>
      </c>
      <c r="F56" s="258">
        <f t="shared" si="14"/>
        <v>0.59499999999999997</v>
      </c>
      <c r="G56" s="258">
        <f t="shared" si="14"/>
        <v>0.35291666666666666</v>
      </c>
      <c r="H56" s="258">
        <f t="shared" si="14"/>
        <v>0.38791666666666669</v>
      </c>
      <c r="I56" s="258">
        <f t="shared" si="14"/>
        <v>0.53958333333333319</v>
      </c>
    </row>
    <row r="57" spans="1:9" x14ac:dyDescent="0.2">
      <c r="A57" s="115" t="s">
        <v>60</v>
      </c>
      <c r="B57" s="115"/>
      <c r="C57" s="115"/>
      <c r="D57" s="116">
        <f t="shared" ref="D57:I57" si="15">IF(D51="","",IF(D52="","",SUM(D55:D56)))</f>
        <v>7.2321428571428578E-2</v>
      </c>
      <c r="E57" s="116">
        <f t="shared" si="15"/>
        <v>0.64041666666666663</v>
      </c>
      <c r="F57" s="116">
        <f t="shared" si="15"/>
        <v>0.82669642857142855</v>
      </c>
      <c r="G57" s="116">
        <f t="shared" si="15"/>
        <v>0.63104166666666672</v>
      </c>
      <c r="H57" s="116">
        <f t="shared" si="15"/>
        <v>0.66604166666666664</v>
      </c>
      <c r="I57" s="116">
        <f t="shared" si="15"/>
        <v>0.79002976190476182</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8" zoomScaleNormal="88" workbookViewId="0">
      <pane xSplit="3" ySplit="6" topLeftCell="D7" activePane="bottomRight" state="frozen"/>
      <selection activeCell="G47" sqref="G47"/>
      <selection pane="topRight" activeCell="G47" sqref="G47"/>
      <selection pane="bottomLeft" activeCell="G47" sqref="G47"/>
      <selection pane="bottomRight" activeCell="I51" sqref="I5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298" t="s">
        <v>152</v>
      </c>
      <c r="E2" s="306" t="s">
        <v>176</v>
      </c>
      <c r="F2" s="294" t="s">
        <v>131</v>
      </c>
      <c r="G2" s="312" t="s">
        <v>183</v>
      </c>
      <c r="H2" s="306" t="s">
        <v>170</v>
      </c>
      <c r="I2" s="296" t="s">
        <v>123</v>
      </c>
    </row>
    <row r="3" spans="1:11" ht="19" x14ac:dyDescent="0.2">
      <c r="A3" s="32" t="str">
        <f>OVERALL!I1</f>
        <v>ENGIE</v>
      </c>
      <c r="B3" s="249">
        <f>OVERALL!I3</f>
        <v>0.71954861111111112</v>
      </c>
      <c r="C3" s="109" t="s">
        <v>74</v>
      </c>
      <c r="D3" s="110">
        <f>IF(D2="-","-",D57)</f>
        <v>0.67833333333333323</v>
      </c>
      <c r="E3" s="110">
        <f t="shared" ref="E3:I3" si="0">IF(E2="-","-",E57)</f>
        <v>0.71333333333333337</v>
      </c>
      <c r="F3" s="110">
        <f t="shared" si="0"/>
        <v>0.7220833333333333</v>
      </c>
      <c r="G3" s="110">
        <f t="shared" si="0"/>
        <v>0.67541666666666667</v>
      </c>
      <c r="H3" s="110">
        <f t="shared" si="0"/>
        <v>0.81770833333333326</v>
      </c>
      <c r="I3" s="110">
        <f t="shared" si="0"/>
        <v>0.7104166666666667</v>
      </c>
    </row>
    <row r="4" spans="1:11" ht="18" customHeight="1" x14ac:dyDescent="0.2">
      <c r="A4" s="17" t="str">
        <f>OVERALL!A4</f>
        <v>QUALITY SCORE</v>
      </c>
      <c r="B4" s="38">
        <f>IF(C2=0, "-", IF(COUNTIF(D39:I39, "n")=C2, "-", IF(COUNT(D4:I4)=0, "-", AVERAGE(D4:I4))))</f>
        <v>0.61944444444444446</v>
      </c>
      <c r="C4" s="59" t="s">
        <v>1</v>
      </c>
      <c r="D4" s="38">
        <f>IF(D48&lt;0%,0%,IF(D$2="-","-",IF(D$39="n", "-", SUM(D$6,D$12,D$17,D$23,D$28,D$34))))</f>
        <v>0.55833333333333335</v>
      </c>
      <c r="E4" s="38">
        <f t="shared" ref="E4:I4" si="1">IF(E48&lt;0%,0%,IF(E$2="-","-",IF(E$39="n", "-", SUM(E$6,E$12,E$17,E$23,E$28,E$34))))</f>
        <v>0.60833333333333339</v>
      </c>
      <c r="F4" s="38">
        <f t="shared" si="1"/>
        <v>0.62083333333333335</v>
      </c>
      <c r="G4" s="38">
        <f t="shared" si="1"/>
        <v>0.5541666666666667</v>
      </c>
      <c r="H4" s="38">
        <f t="shared" si="1"/>
        <v>0.77083333333333326</v>
      </c>
      <c r="I4" s="38">
        <f t="shared" si="1"/>
        <v>0.60416666666666674</v>
      </c>
      <c r="K4" s="12" t="s">
        <v>8</v>
      </c>
    </row>
    <row r="5" spans="1:11" ht="18" customHeight="1" x14ac:dyDescent="0.25">
      <c r="A5" s="58" t="s">
        <v>49</v>
      </c>
      <c r="B5" s="59">
        <f>IF(B6="-","-",AVERAGE(D5:I5))</f>
        <v>0.61944444444444446</v>
      </c>
      <c r="C5" s="59" t="s">
        <v>1</v>
      </c>
      <c r="D5" s="61">
        <f t="shared" ref="D5:I5" si="2">IF(D$2="","",IF(D$39="n", "", SUM(D$6,D$12,D$17,D$23,D$28)))</f>
        <v>0.55833333333333335</v>
      </c>
      <c r="E5" s="61">
        <f t="shared" si="2"/>
        <v>0.60833333333333339</v>
      </c>
      <c r="F5" s="61">
        <f t="shared" si="2"/>
        <v>0.62083333333333335</v>
      </c>
      <c r="G5" s="61">
        <f t="shared" si="2"/>
        <v>0.5541666666666667</v>
      </c>
      <c r="H5" s="61">
        <f t="shared" si="2"/>
        <v>0.77083333333333326</v>
      </c>
      <c r="I5" s="61">
        <f t="shared" si="2"/>
        <v>0.60416666666666674</v>
      </c>
      <c r="K5" s="7" t="s">
        <v>17</v>
      </c>
    </row>
    <row r="6" spans="1:11" ht="18" customHeight="1" x14ac:dyDescent="0.2">
      <c r="A6" s="20" t="str">
        <f>OVERALL!A6</f>
        <v>ENGAGE</v>
      </c>
      <c r="B6" s="21">
        <f>IF(C11=0,"-",AVERAGE(B7:B10))</f>
        <v>0.625</v>
      </c>
      <c r="C6" s="62" t="s">
        <v>0</v>
      </c>
      <c r="D6" s="28">
        <f>IF(D11=0,"-",(COUNTIF(D7:D10, "y")/D11)*OVERALL!$C$6)</f>
        <v>0.15000000000000002</v>
      </c>
      <c r="E6" s="28">
        <f>IF(E11=0,"-",(COUNTIF(E7:E10, "y")/E11)*OVERALL!$C$6)</f>
        <v>0.1</v>
      </c>
      <c r="F6" s="28">
        <f>IF(F11=0,"-",(COUNTIF(F7:F10, "y")/F11)*OVERALL!$C$6)</f>
        <v>0.15000000000000002</v>
      </c>
      <c r="G6" s="28">
        <f>IF(G11=0,"-",(COUNTIF(G7:G10, "y")/G11)*OVERALL!$C$6)</f>
        <v>0.1</v>
      </c>
      <c r="H6" s="28">
        <f>IF(H11=0,"-",(COUNTIF(H7:H10, "y")/H11)*OVERALL!$C$6)</f>
        <v>0.15000000000000002</v>
      </c>
      <c r="I6" s="28">
        <f>IF(I11=0,"-",(COUNTIF(I7:I10, "y")/I11)*OVERALL!$C$6)</f>
        <v>0.1</v>
      </c>
    </row>
    <row r="7" spans="1:11" ht="18" customHeight="1" x14ac:dyDescent="0.2">
      <c r="A7" s="33" t="str">
        <f>OVERALL!A7</f>
        <v>WELCOME</v>
      </c>
      <c r="B7" s="3">
        <f>IF(C7=0,"-",COUNTIF(D7:I7,"y")/C7)</f>
        <v>1</v>
      </c>
      <c r="C7" s="26">
        <f>$C$2-COUNTIF(D7:I7, "-")</f>
        <v>6</v>
      </c>
      <c r="D7" s="297" t="s">
        <v>122</v>
      </c>
      <c r="E7" s="305" t="s">
        <v>122</v>
      </c>
      <c r="F7" s="293" t="s">
        <v>122</v>
      </c>
      <c r="G7" s="311" t="s">
        <v>122</v>
      </c>
      <c r="H7" s="305" t="s">
        <v>122</v>
      </c>
      <c r="I7" s="295" t="s">
        <v>122</v>
      </c>
      <c r="K7" s="11" t="s">
        <v>2</v>
      </c>
    </row>
    <row r="8" spans="1:11" ht="18" customHeight="1" x14ac:dyDescent="0.25">
      <c r="A8" s="33" t="str">
        <f>OVERALL!A8</f>
        <v>INTENT</v>
      </c>
      <c r="B8" s="3">
        <f>IF(C8=0,"-",COUNTIF(D8:I8,"y")/C8)</f>
        <v>0.83333333333333337</v>
      </c>
      <c r="C8" s="26">
        <f>$C$2-COUNTIF(D8:I8, "-")</f>
        <v>6</v>
      </c>
      <c r="D8" s="297" t="s">
        <v>122</v>
      </c>
      <c r="E8" s="305" t="s">
        <v>122</v>
      </c>
      <c r="F8" s="293" t="s">
        <v>122</v>
      </c>
      <c r="G8" s="311" t="s">
        <v>121</v>
      </c>
      <c r="H8" s="305" t="s">
        <v>122</v>
      </c>
      <c r="I8" s="295" t="s">
        <v>122</v>
      </c>
      <c r="K8" s="7" t="s">
        <v>16</v>
      </c>
    </row>
    <row r="9" spans="1:11" ht="18" customHeight="1" x14ac:dyDescent="0.2">
      <c r="A9" s="33" t="str">
        <f>OVERALL!A9</f>
        <v>NAME</v>
      </c>
      <c r="B9" s="3">
        <f>IF(C9=0,"-",COUNTIF(D9:I9,"y")/C9)</f>
        <v>0.66666666666666663</v>
      </c>
      <c r="C9" s="26">
        <f>$C$2-COUNTIF(D9:I9, "-")</f>
        <v>6</v>
      </c>
      <c r="D9" s="297" t="s">
        <v>122</v>
      </c>
      <c r="E9" s="305" t="s">
        <v>121</v>
      </c>
      <c r="F9" s="293" t="s">
        <v>122</v>
      </c>
      <c r="G9" s="311" t="s">
        <v>122</v>
      </c>
      <c r="H9" s="305" t="s">
        <v>122</v>
      </c>
      <c r="I9" s="295" t="s">
        <v>121</v>
      </c>
      <c r="K9" t="s">
        <v>1</v>
      </c>
    </row>
    <row r="10" spans="1:11" ht="18" customHeight="1" x14ac:dyDescent="0.2">
      <c r="A10" s="33" t="str">
        <f>OVERALL!A10</f>
        <v>BRIDGE</v>
      </c>
      <c r="B10" s="3">
        <f>IF(C10=0,"-",COUNTIF(D10:I10,"y")/C10)</f>
        <v>0</v>
      </c>
      <c r="C10" s="26">
        <f>$C$2-COUNTIF(D10:I10, "-")</f>
        <v>6</v>
      </c>
      <c r="D10" s="297" t="s">
        <v>121</v>
      </c>
      <c r="E10" s="305" t="s">
        <v>121</v>
      </c>
      <c r="F10" s="293" t="s">
        <v>121</v>
      </c>
      <c r="G10" s="311" t="s">
        <v>121</v>
      </c>
      <c r="H10" s="305" t="s">
        <v>121</v>
      </c>
      <c r="I10" s="295" t="s">
        <v>121</v>
      </c>
      <c r="K10" s="13" t="s">
        <v>3</v>
      </c>
    </row>
    <row r="11" spans="1:11" ht="18" customHeight="1" x14ac:dyDescent="0.25">
      <c r="A11" s="2"/>
      <c r="C11" s="64">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0.55555555555555558</v>
      </c>
      <c r="C12" s="1" t="s">
        <v>1</v>
      </c>
      <c r="D12" s="28">
        <f>IF(D16=0,"-",(COUNTIF(D13:D15, "y")/D16)*OVERALL!$C$12)</f>
        <v>0.13333333333333333</v>
      </c>
      <c r="E12" s="28">
        <f>IF(E16=0,"-",(COUNTIF(E13:E15, "y")/E16)*OVERALL!$C$12)</f>
        <v>0.13333333333333333</v>
      </c>
      <c r="F12" s="28">
        <f>IF(F16=0,"-",(COUNTIF(F13:F15, "y")/F16)*OVERALL!$C$12)</f>
        <v>0.13333333333333333</v>
      </c>
      <c r="G12" s="28">
        <f>IF(G16=0,"-",(COUNTIF(G13:G15, "y")/G16)*OVERALL!$C$12)</f>
        <v>6.6666666666666666E-2</v>
      </c>
      <c r="H12" s="28">
        <f>IF(H16=0,"-",(COUNTIF(H13:H15, "y")/H16)*OVERALL!$C$12)</f>
        <v>0.13333333333333333</v>
      </c>
      <c r="I12" s="28">
        <f>IF(I16=0,"-",(COUNTIF(I13:I15, "y")/I16)*OVERALL!$C$12)</f>
        <v>6.6666666666666666E-2</v>
      </c>
      <c r="K12" t="s">
        <v>1</v>
      </c>
    </row>
    <row r="13" spans="1:11" ht="18" customHeight="1" x14ac:dyDescent="0.2">
      <c r="A13" s="33" t="str">
        <f>OVERALL!A13</f>
        <v>CONVERSE</v>
      </c>
      <c r="B13" s="3">
        <f>IF(C13=0,"-",COUNTIF(D13:I13,"y")/C13)</f>
        <v>0</v>
      </c>
      <c r="C13" s="26">
        <f>$C$2-COUNTIF(D13:I13, "-")</f>
        <v>6</v>
      </c>
      <c r="D13" s="297" t="s">
        <v>121</v>
      </c>
      <c r="E13" s="305" t="s">
        <v>121</v>
      </c>
      <c r="F13" s="293" t="s">
        <v>121</v>
      </c>
      <c r="G13" s="311" t="s">
        <v>121</v>
      </c>
      <c r="H13" s="305" t="s">
        <v>121</v>
      </c>
      <c r="I13" s="295" t="s">
        <v>121</v>
      </c>
      <c r="K13" s="14" t="s">
        <v>4</v>
      </c>
    </row>
    <row r="14" spans="1:11" ht="18" customHeight="1" x14ac:dyDescent="0.25">
      <c r="A14" s="33" t="str">
        <f>OVERALL!A14</f>
        <v>LISTEN</v>
      </c>
      <c r="B14" s="3">
        <f>IF(C14=0,"-",COUNTIF(D14:I14,"y")/C14)</f>
        <v>0.83333333333333337</v>
      </c>
      <c r="C14" s="26">
        <f>$C$2-COUNTIF(D14:I14, "-")</f>
        <v>6</v>
      </c>
      <c r="D14" s="297" t="s">
        <v>122</v>
      </c>
      <c r="E14" s="305" t="s">
        <v>122</v>
      </c>
      <c r="F14" s="293" t="s">
        <v>122</v>
      </c>
      <c r="G14" s="311" t="s">
        <v>122</v>
      </c>
      <c r="H14" s="305" t="s">
        <v>122</v>
      </c>
      <c r="I14" s="295" t="s">
        <v>121</v>
      </c>
      <c r="K14" s="9" t="s">
        <v>14</v>
      </c>
    </row>
    <row r="15" spans="1:11" ht="18" customHeight="1" x14ac:dyDescent="0.2">
      <c r="A15" s="33" t="str">
        <f>OVERALL!A15</f>
        <v>CONFIRM</v>
      </c>
      <c r="B15" s="3">
        <f>IF(C15=0,"-",COUNTIF(D15:I15,"y")/C15)</f>
        <v>0.83333333333333337</v>
      </c>
      <c r="C15" s="26">
        <f>$C$2-COUNTIF(D15:I15, "-")</f>
        <v>6</v>
      </c>
      <c r="D15" s="297" t="s">
        <v>122</v>
      </c>
      <c r="E15" s="305" t="s">
        <v>122</v>
      </c>
      <c r="F15" s="293" t="s">
        <v>122</v>
      </c>
      <c r="G15" s="311" t="s">
        <v>121</v>
      </c>
      <c r="H15" s="305" t="s">
        <v>122</v>
      </c>
      <c r="I15" s="295" t="s">
        <v>122</v>
      </c>
      <c r="J15" t="s">
        <v>1</v>
      </c>
    </row>
    <row r="16" spans="1:11" ht="18" customHeight="1" x14ac:dyDescent="0.2">
      <c r="A16" s="2"/>
      <c r="C16" s="64">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0.66666666666666663</v>
      </c>
      <c r="C17" s="1" t="s">
        <v>1</v>
      </c>
      <c r="D17" s="29">
        <f>IF(D22=0,"-",(COUNTIF(D18:D21, "y")/D22)*OVERALL!$C$17)</f>
        <v>0.125</v>
      </c>
      <c r="E17" s="29">
        <f>IF(E22=0,"-",(COUNTIF(E18:E21, "y")/E22)*OVERALL!$C$17)</f>
        <v>0.125</v>
      </c>
      <c r="F17" s="29">
        <f>IF(F22=0,"-",(COUNTIF(F18:F21, "y")/F22)*OVERALL!$C$17)</f>
        <v>0.1875</v>
      </c>
      <c r="G17" s="29">
        <f>IF(G22=0,"-",(COUNTIF(G18:G21, "y")/G22)*OVERALL!$C$17)</f>
        <v>0.1875</v>
      </c>
      <c r="H17" s="29">
        <f>IF(H22=0,"-",(COUNTIF(H18:H21, "y")/H22)*OVERALL!$C$17)</f>
        <v>0.1875</v>
      </c>
      <c r="I17" s="29">
        <f>IF(I22=0,"-",(COUNTIF(I18:I21, "y")/I22)*OVERALL!$C$17)</f>
        <v>0.1875</v>
      </c>
      <c r="K17" s="9" t="s">
        <v>6</v>
      </c>
    </row>
    <row r="18" spans="1:14" ht="18" customHeight="1" x14ac:dyDescent="0.2">
      <c r="A18" s="33" t="str">
        <f>OVERALL!A18</f>
        <v>INFORM</v>
      </c>
      <c r="B18" s="3">
        <f>IF(C18=0,"-",COUNTIF(D18:I18,"y")/C18)</f>
        <v>0.5</v>
      </c>
      <c r="C18" s="26">
        <f>$C$2-COUNTIF(D18:I18, "-")</f>
        <v>6</v>
      </c>
      <c r="D18" s="297" t="s">
        <v>121</v>
      </c>
      <c r="E18" s="305" t="s">
        <v>121</v>
      </c>
      <c r="F18" s="293" t="s">
        <v>121</v>
      </c>
      <c r="G18" s="311" t="s">
        <v>122</v>
      </c>
      <c r="H18" s="305" t="s">
        <v>122</v>
      </c>
      <c r="I18" s="295" t="s">
        <v>122</v>
      </c>
    </row>
    <row r="19" spans="1:14" ht="18" customHeight="1" x14ac:dyDescent="0.2">
      <c r="A19" s="33" t="str">
        <f>OVERALL!A19</f>
        <v>CHECK</v>
      </c>
      <c r="B19" s="3">
        <f>IF(C19=0,"-",COUNTIF(D19:I19,"y")/C19)</f>
        <v>0.16666666666666666</v>
      </c>
      <c r="C19" s="26">
        <f>$C$2-COUNTIF(D19:I19, "-")</f>
        <v>6</v>
      </c>
      <c r="D19" s="297" t="s">
        <v>121</v>
      </c>
      <c r="E19" s="305" t="s">
        <v>121</v>
      </c>
      <c r="F19" s="293" t="s">
        <v>122</v>
      </c>
      <c r="G19" s="311" t="s">
        <v>121</v>
      </c>
      <c r="H19" s="305" t="s">
        <v>121</v>
      </c>
      <c r="I19" s="295" t="s">
        <v>121</v>
      </c>
    </row>
    <row r="20" spans="1:14" ht="18" customHeight="1" x14ac:dyDescent="0.2">
      <c r="A20" s="33" t="str">
        <f>OVERALL!A20</f>
        <v>SEEK</v>
      </c>
      <c r="B20" s="3">
        <f>IF(C20=0,"-",COUNTIF(D20:I20,"y")/C20)</f>
        <v>1</v>
      </c>
      <c r="C20" s="26">
        <f>$C$2-COUNTIF(D20:I20, "-")</f>
        <v>6</v>
      </c>
      <c r="D20" s="297" t="s">
        <v>122</v>
      </c>
      <c r="E20" s="305" t="s">
        <v>122</v>
      </c>
      <c r="F20" s="293" t="s">
        <v>122</v>
      </c>
      <c r="G20" s="311" t="s">
        <v>122</v>
      </c>
      <c r="H20" s="305" t="s">
        <v>122</v>
      </c>
      <c r="I20" s="295" t="s">
        <v>122</v>
      </c>
      <c r="K20" t="s">
        <v>1</v>
      </c>
    </row>
    <row r="21" spans="1:14" ht="18" customHeight="1" x14ac:dyDescent="0.2">
      <c r="A21" s="33" t="str">
        <f>OVERALL!A21</f>
        <v>CONFIDENCE</v>
      </c>
      <c r="B21" s="3">
        <f>IF(C21=0,"-",COUNTIF(D21:I21,"y")/C21)</f>
        <v>1</v>
      </c>
      <c r="C21" s="26">
        <f>$C$2-COUNTIF(D21:I21, "-")</f>
        <v>6</v>
      </c>
      <c r="D21" s="297" t="s">
        <v>122</v>
      </c>
      <c r="E21" s="305" t="s">
        <v>122</v>
      </c>
      <c r="F21" s="293" t="s">
        <v>122</v>
      </c>
      <c r="G21" s="311" t="s">
        <v>122</v>
      </c>
      <c r="H21" s="305" t="s">
        <v>122</v>
      </c>
      <c r="I21" s="295" t="s">
        <v>122</v>
      </c>
    </row>
    <row r="22" spans="1:14" ht="18" customHeight="1" x14ac:dyDescent="0.2">
      <c r="A22" s="2"/>
      <c r="C22" s="64">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0.55555555555555547</v>
      </c>
      <c r="C23" s="1" t="s">
        <v>1</v>
      </c>
      <c r="D23" s="29">
        <f>IF(D27=0,"-",(COUNTIF(D24:D26, "y")/D27)*OVERALL!$C$23)</f>
        <v>4.9999999999999996E-2</v>
      </c>
      <c r="E23" s="29">
        <f>IF(E27=0,"-",(COUNTIF(E24:E26, "y")/E27)*OVERALL!$C$23)</f>
        <v>9.9999999999999992E-2</v>
      </c>
      <c r="F23" s="29">
        <f>IF(F27=0,"-",(COUNTIF(F24:F26, "y")/F27)*OVERALL!$C$23)</f>
        <v>4.9999999999999996E-2</v>
      </c>
      <c r="G23" s="29">
        <f>IF(G27=0,"-",(COUNTIF(G24:G26, "y")/G27)*OVERALL!$C$23)</f>
        <v>9.9999999999999992E-2</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0.5</v>
      </c>
      <c r="C24" s="26">
        <f>$C$2-COUNTIF(D24:I24, "-")</f>
        <v>6</v>
      </c>
      <c r="D24" s="297" t="s">
        <v>121</v>
      </c>
      <c r="E24" s="305" t="s">
        <v>122</v>
      </c>
      <c r="F24" s="293" t="s">
        <v>121</v>
      </c>
      <c r="G24" s="311" t="s">
        <v>122</v>
      </c>
      <c r="H24" s="305" t="s">
        <v>121</v>
      </c>
      <c r="I24" s="295" t="s">
        <v>122</v>
      </c>
    </row>
    <row r="25" spans="1:14" ht="18" customHeight="1" x14ac:dyDescent="0.2">
      <c r="A25" s="33" t="str">
        <f>OVERALL!A25</f>
        <v>GRATITUDE</v>
      </c>
      <c r="B25" s="3">
        <f>IF(C25=0,"-",COUNTIF(D25:I25,"y")/C25)</f>
        <v>0.16666666666666666</v>
      </c>
      <c r="C25" s="26">
        <f>$C$2-COUNTIF(D25:I25, "-")</f>
        <v>6</v>
      </c>
      <c r="D25" s="297" t="s">
        <v>121</v>
      </c>
      <c r="E25" s="305" t="s">
        <v>121</v>
      </c>
      <c r="F25" s="293" t="s">
        <v>121</v>
      </c>
      <c r="G25" s="311" t="s">
        <v>121</v>
      </c>
      <c r="H25" s="305" t="s">
        <v>122</v>
      </c>
      <c r="I25" s="295" t="s">
        <v>121</v>
      </c>
    </row>
    <row r="26" spans="1:14" ht="18" customHeight="1" x14ac:dyDescent="0.2">
      <c r="A26" s="33" t="str">
        <f>OVERALL!A26</f>
        <v>THANKS</v>
      </c>
      <c r="B26" s="3">
        <f>IF(C26=0,"-",COUNTIF(D26:I26,"y")/C26)</f>
        <v>1</v>
      </c>
      <c r="C26" s="26">
        <f>$C$2-COUNTIF(D26:I26, "-")</f>
        <v>6</v>
      </c>
      <c r="D26" s="297" t="s">
        <v>122</v>
      </c>
      <c r="E26" s="305" t="s">
        <v>122</v>
      </c>
      <c r="F26" s="293" t="s">
        <v>122</v>
      </c>
      <c r="G26" s="311" t="s">
        <v>122</v>
      </c>
      <c r="H26" s="305" t="s">
        <v>122</v>
      </c>
      <c r="I26" s="295" t="s">
        <v>122</v>
      </c>
    </row>
    <row r="27" spans="1:14" ht="18" customHeight="1" x14ac:dyDescent="0.2">
      <c r="A27" s="2"/>
      <c r="C27" s="64">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0.66666666666666663</v>
      </c>
      <c r="C28" s="1" t="s">
        <v>1</v>
      </c>
      <c r="D28" s="29">
        <f>IF(D33=0,"-",(COUNTIF(D29:D32, "y")/D33)*OVERALL!$C$28)</f>
        <v>0.1</v>
      </c>
      <c r="E28" s="29">
        <f>IF(E33=0,"-",(COUNTIF(E29:E32, "y")/E33)*OVERALL!$C$28)</f>
        <v>0.15000000000000002</v>
      </c>
      <c r="F28" s="29">
        <f>IF(F33=0,"-",(COUNTIF(F29:F32, "y")/F33)*OVERALL!$C$28)</f>
        <v>0.1</v>
      </c>
      <c r="G28" s="29">
        <f>IF(G33=0,"-",(COUNTIF(G29:G32, "y")/G33)*OVERALL!$C$28)</f>
        <v>0.1</v>
      </c>
      <c r="H28" s="29">
        <f>IF(H33=0,"-",(COUNTIF(H29:H32, "y")/H33)*OVERALL!$C$28)</f>
        <v>0.2</v>
      </c>
      <c r="I28" s="29">
        <f>IF(I33=0,"-",(COUNTIF(I29:I32, "y")/I33)*OVERALL!$C$28)</f>
        <v>0.15000000000000002</v>
      </c>
    </row>
    <row r="29" spans="1:14" ht="18" customHeight="1" x14ac:dyDescent="0.2">
      <c r="A29" s="33" t="str">
        <f>OVERALL!A29</f>
        <v>VIBRANCY</v>
      </c>
      <c r="B29" s="3">
        <f>IF(C29=0,"-",COUNTIF(D29:I29,"y")/C29)</f>
        <v>1</v>
      </c>
      <c r="C29" s="26">
        <f>$C$2-COUNTIF(D29:I29, "-")</f>
        <v>6</v>
      </c>
      <c r="D29" s="297" t="s">
        <v>122</v>
      </c>
      <c r="E29" s="305" t="s">
        <v>122</v>
      </c>
      <c r="F29" s="293" t="s">
        <v>122</v>
      </c>
      <c r="G29" s="311" t="s">
        <v>122</v>
      </c>
      <c r="H29" s="305" t="s">
        <v>122</v>
      </c>
      <c r="I29" s="295" t="s">
        <v>122</v>
      </c>
    </row>
    <row r="30" spans="1:14" ht="18" customHeight="1" x14ac:dyDescent="0.2">
      <c r="A30" s="33" t="str">
        <f>OVERALL!A30</f>
        <v>EMPATHY</v>
      </c>
      <c r="B30" s="3">
        <f>IF(C30=0,"-",COUNTIF(D30:I30,"y")/C30)</f>
        <v>0.66666666666666663</v>
      </c>
      <c r="C30" s="26">
        <f>$C$2-COUNTIF(D30:I30, "-")</f>
        <v>6</v>
      </c>
      <c r="D30" s="297" t="s">
        <v>122</v>
      </c>
      <c r="E30" s="305" t="s">
        <v>122</v>
      </c>
      <c r="F30" s="293" t="s">
        <v>122</v>
      </c>
      <c r="G30" s="311" t="s">
        <v>121</v>
      </c>
      <c r="H30" s="305" t="s">
        <v>122</v>
      </c>
      <c r="I30" s="295" t="s">
        <v>121</v>
      </c>
    </row>
    <row r="31" spans="1:14" ht="18" customHeight="1" x14ac:dyDescent="0.2">
      <c r="A31" s="33" t="str">
        <f>OVERALL!A31</f>
        <v>CONTROL</v>
      </c>
      <c r="B31" s="3">
        <f>IF(C31=0,"-",COUNTIF(D31:I31,"y")/C31)</f>
        <v>0.5</v>
      </c>
      <c r="C31" s="26">
        <f>$C$2-COUNTIF(D31:I31, "-")</f>
        <v>6</v>
      </c>
      <c r="D31" s="297" t="s">
        <v>121</v>
      </c>
      <c r="E31" s="305" t="s">
        <v>122</v>
      </c>
      <c r="F31" s="293" t="s">
        <v>121</v>
      </c>
      <c r="G31" s="311" t="s">
        <v>121</v>
      </c>
      <c r="H31" s="305" t="s">
        <v>122</v>
      </c>
      <c r="I31" s="295" t="s">
        <v>122</v>
      </c>
    </row>
    <row r="32" spans="1:14" ht="18" customHeight="1" x14ac:dyDescent="0.2">
      <c r="A32" s="33" t="str">
        <f>OVERALL!A32</f>
        <v>CLARITY</v>
      </c>
      <c r="B32" s="3">
        <f>IF(C32=0,"-",COUNTIF(D32:I32,"y")/C32)</f>
        <v>0.5</v>
      </c>
      <c r="C32" s="26">
        <f>$C$2-COUNTIF(D32:I32, "-")</f>
        <v>6</v>
      </c>
      <c r="D32" s="297" t="s">
        <v>121</v>
      </c>
      <c r="E32" s="305" t="s">
        <v>121</v>
      </c>
      <c r="F32" s="293" t="s">
        <v>121</v>
      </c>
      <c r="G32" s="311" t="s">
        <v>122</v>
      </c>
      <c r="H32" s="305" t="s">
        <v>122</v>
      </c>
      <c r="I32" s="295" t="s">
        <v>122</v>
      </c>
      <c r="N32" t="s">
        <v>1</v>
      </c>
    </row>
    <row r="33" spans="1:16" ht="18" customHeight="1" x14ac:dyDescent="0.2">
      <c r="A33" s="5"/>
      <c r="B33" s="6"/>
      <c r="C33" s="64">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7" t="s">
        <v>121</v>
      </c>
      <c r="E35" s="305" t="s">
        <v>121</v>
      </c>
      <c r="F35" s="293" t="s">
        <v>121</v>
      </c>
      <c r="G35" s="311" t="s">
        <v>121</v>
      </c>
      <c r="H35" s="305" t="s">
        <v>121</v>
      </c>
      <c r="I35" s="295" t="s">
        <v>121</v>
      </c>
      <c r="K35" s="48">
        <v>-0.3</v>
      </c>
      <c r="M35" s="48"/>
      <c r="N35" s="48"/>
      <c r="O35" s="48"/>
    </row>
    <row r="36" spans="1:16" ht="18" customHeight="1" x14ac:dyDescent="0.2">
      <c r="A36" s="45" t="str">
        <f>OVERALL!A36</f>
        <v>AUDIO ISSUE (DISTRACTION)</v>
      </c>
      <c r="B36" s="3">
        <f>IF(C36=0,"-",COUNTIF(D36:I36,"y")/C36)</f>
        <v>0</v>
      </c>
      <c r="C36" s="26">
        <f>$C$2-COUNTIF(D36:I36, "-")</f>
        <v>6</v>
      </c>
      <c r="D36" s="297" t="s">
        <v>121</v>
      </c>
      <c r="E36" s="305" t="s">
        <v>121</v>
      </c>
      <c r="F36" s="293" t="s">
        <v>121</v>
      </c>
      <c r="G36" s="311" t="s">
        <v>121</v>
      </c>
      <c r="H36" s="305" t="s">
        <v>121</v>
      </c>
      <c r="I36" s="295" t="s">
        <v>121</v>
      </c>
      <c r="K36" s="48">
        <v>-0.1</v>
      </c>
      <c r="M36" s="48"/>
      <c r="N36" s="48"/>
      <c r="O36" s="48"/>
    </row>
    <row r="37" spans="1:16" ht="18" customHeight="1" x14ac:dyDescent="0.2">
      <c r="A37" s="5"/>
      <c r="B37" s="6"/>
      <c r="C37" s="64">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3" t="str">
        <f>OVERALL!A38</f>
        <v>ADDITIONAL INSIGHT</v>
      </c>
      <c r="B38" s="354"/>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7" t="s">
        <v>122</v>
      </c>
      <c r="E39" s="305" t="s">
        <v>122</v>
      </c>
      <c r="F39" s="293" t="s">
        <v>122</v>
      </c>
      <c r="G39" s="311" t="s">
        <v>122</v>
      </c>
      <c r="H39" s="305" t="s">
        <v>122</v>
      </c>
      <c r="I39" s="295" t="s">
        <v>122</v>
      </c>
    </row>
    <row r="40" spans="1:16" ht="18" customHeight="1" x14ac:dyDescent="0.2">
      <c r="A40" s="33" t="str">
        <f>OVERALL!A40</f>
        <v>TALK TIME</v>
      </c>
      <c r="B40" s="283">
        <f>IF(C40=0,"-",AVERAGE(D40:I40))</f>
        <v>8.6458333333333335E-3</v>
      </c>
      <c r="C40" s="26">
        <f t="shared" si="10"/>
        <v>6</v>
      </c>
      <c r="D40" s="287">
        <v>1.3310185185185185E-2</v>
      </c>
      <c r="E40" s="287">
        <v>9.6064814814814815E-3</v>
      </c>
      <c r="F40" s="287">
        <v>7.6504629629629631E-3</v>
      </c>
      <c r="G40" s="287">
        <v>4.9884259259259257E-3</v>
      </c>
      <c r="H40" s="287">
        <v>8.7037037037037031E-3</v>
      </c>
      <c r="I40" s="287">
        <v>7.6157407407407406E-3</v>
      </c>
      <c r="J40" s="46"/>
      <c r="K40" s="267"/>
      <c r="L40" s="267"/>
      <c r="M40" s="267"/>
      <c r="N40" s="267"/>
      <c r="O40" s="267"/>
      <c r="P40" s="267"/>
    </row>
    <row r="41" spans="1:16" ht="18" customHeight="1" x14ac:dyDescent="0.2">
      <c r="A41" s="33" t="str">
        <f>OVERALL!A41</f>
        <v>ASSESSOR RATING (0-10)</v>
      </c>
      <c r="B41" s="289">
        <f>IF(C41=0,"-",SUM(D41:I41)/C41)</f>
        <v>5.833333333333333</v>
      </c>
      <c r="C41" s="26">
        <f t="shared" si="10"/>
        <v>6</v>
      </c>
      <c r="D41" s="291">
        <v>5</v>
      </c>
      <c r="E41" s="291">
        <v>6</v>
      </c>
      <c r="F41" s="291">
        <v>6</v>
      </c>
      <c r="G41" s="291">
        <v>5</v>
      </c>
      <c r="H41" s="291">
        <v>7</v>
      </c>
      <c r="I41" s="291">
        <v>6</v>
      </c>
    </row>
    <row r="42" spans="1:16" ht="18" customHeight="1" x14ac:dyDescent="0.2">
      <c r="A42" s="33" t="str">
        <f>OVERALL!A42</f>
        <v>EXPLAINED KEY FEATURES</v>
      </c>
      <c r="B42" s="3">
        <f>IF(C42=0,"-",COUNTIF(D42:I42, "y")/C42)</f>
        <v>1</v>
      </c>
      <c r="C42" s="26">
        <f t="shared" si="10"/>
        <v>6</v>
      </c>
      <c r="D42" s="297" t="s">
        <v>122</v>
      </c>
      <c r="E42" s="305" t="s">
        <v>122</v>
      </c>
      <c r="F42" s="293" t="s">
        <v>122</v>
      </c>
      <c r="G42" s="311" t="s">
        <v>122</v>
      </c>
      <c r="H42" s="305" t="s">
        <v>122</v>
      </c>
      <c r="I42" s="295" t="s">
        <v>122</v>
      </c>
      <c r="J42" s="47"/>
      <c r="K42" t="s">
        <v>1</v>
      </c>
    </row>
    <row r="43" spans="1:16" ht="18" customHeight="1" x14ac:dyDescent="0.2">
      <c r="A43" s="33" t="str">
        <f>OVERALL!A43</f>
        <v>REVEALED PRICING</v>
      </c>
      <c r="B43" s="3">
        <f>IF(C43=0,"-",COUNTIF(D43:I43, "y")/C43)</f>
        <v>1</v>
      </c>
      <c r="C43" s="26">
        <f t="shared" si="10"/>
        <v>6</v>
      </c>
      <c r="D43" s="297" t="s">
        <v>122</v>
      </c>
      <c r="E43" s="305" t="s">
        <v>122</v>
      </c>
      <c r="F43" s="293" t="s">
        <v>122</v>
      </c>
      <c r="G43" s="311" t="s">
        <v>122</v>
      </c>
      <c r="H43" s="305" t="s">
        <v>122</v>
      </c>
      <c r="I43" s="295" t="s">
        <v>122</v>
      </c>
    </row>
    <row r="44" spans="1:16" ht="18" customHeight="1" x14ac:dyDescent="0.2">
      <c r="A44" s="33" t="str">
        <f>OVERALL!A44</f>
        <v>EXPLAINED ACTIONS &amp; PROCESS</v>
      </c>
      <c r="B44" s="3">
        <f>IF(C44=0,"-",COUNTIF(D44:I44, "y")/C44)</f>
        <v>1</v>
      </c>
      <c r="C44" s="26">
        <f t="shared" si="10"/>
        <v>6</v>
      </c>
      <c r="D44" s="297" t="s">
        <v>122</v>
      </c>
      <c r="E44" s="305" t="s">
        <v>122</v>
      </c>
      <c r="F44" s="293" t="s">
        <v>122</v>
      </c>
      <c r="G44" s="311" t="s">
        <v>122</v>
      </c>
      <c r="H44" s="305" t="s">
        <v>122</v>
      </c>
      <c r="I44" s="295" t="s">
        <v>122</v>
      </c>
    </row>
    <row r="45" spans="1:16" ht="18" customHeight="1" x14ac:dyDescent="0.2">
      <c r="A45" s="33" t="str">
        <f>OVERALL!A45</f>
        <v>WEBSITE EDUCATION</v>
      </c>
      <c r="B45" s="3">
        <f>IF(C45=0,"-",COUNTIF(D45:I45, "y")/C45)</f>
        <v>0</v>
      </c>
      <c r="C45" s="26">
        <f t="shared" si="10"/>
        <v>6</v>
      </c>
      <c r="D45" s="297" t="s">
        <v>121</v>
      </c>
      <c r="E45" s="305" t="s">
        <v>121</v>
      </c>
      <c r="F45" s="293" t="s">
        <v>121</v>
      </c>
      <c r="G45" s="311" t="s">
        <v>121</v>
      </c>
      <c r="H45" s="305" t="s">
        <v>121</v>
      </c>
      <c r="I45" s="295" t="s">
        <v>121</v>
      </c>
    </row>
    <row r="46" spans="1:16" ht="18" customHeight="1" x14ac:dyDescent="0.2">
      <c r="A46" s="18"/>
      <c r="B46" s="3"/>
      <c r="C46" s="26"/>
      <c r="D46" s="265"/>
      <c r="E46" s="265"/>
      <c r="F46" s="265"/>
      <c r="G46" s="265"/>
      <c r="H46" s="265"/>
      <c r="I46" s="265"/>
    </row>
    <row r="47" spans="1:16" ht="409.6" x14ac:dyDescent="0.2">
      <c r="A47" s="25" t="s">
        <v>1</v>
      </c>
      <c r="B47" s="355" t="s">
        <v>36</v>
      </c>
      <c r="C47" s="356"/>
      <c r="D47" s="23" t="s">
        <v>153</v>
      </c>
      <c r="E47" s="23" t="s">
        <v>177</v>
      </c>
      <c r="F47" s="23" t="s">
        <v>132</v>
      </c>
      <c r="G47" s="23" t="s">
        <v>184</v>
      </c>
      <c r="H47" s="23" t="s">
        <v>171</v>
      </c>
      <c r="I47" s="23" t="s">
        <v>145</v>
      </c>
    </row>
    <row r="48" spans="1:16" ht="18" customHeight="1" x14ac:dyDescent="0.2">
      <c r="A48" s="60" t="s">
        <v>48</v>
      </c>
      <c r="D48" s="51">
        <f t="shared" ref="D48:I48" si="11">IF(D$2="","",IF(D$39="n", "", SUM(D$6,D$12,D$17,D$23,D$28,D$34)))</f>
        <v>0.55833333333333335</v>
      </c>
      <c r="E48" s="51">
        <f t="shared" si="11"/>
        <v>0.60833333333333339</v>
      </c>
      <c r="F48" s="51">
        <f t="shared" si="11"/>
        <v>0.62083333333333335</v>
      </c>
      <c r="G48" s="51">
        <f t="shared" si="11"/>
        <v>0.5541666666666667</v>
      </c>
      <c r="H48" s="51">
        <f t="shared" si="11"/>
        <v>0.77083333333333326</v>
      </c>
      <c r="I48" s="51">
        <f t="shared" si="11"/>
        <v>0.60416666666666674</v>
      </c>
    </row>
    <row r="50" spans="1:9" ht="19" x14ac:dyDescent="0.25">
      <c r="A50" s="111" t="s">
        <v>75</v>
      </c>
      <c r="B50" s="91" t="s">
        <v>76</v>
      </c>
    </row>
    <row r="51" spans="1:9" x14ac:dyDescent="0.2">
      <c r="A51" s="112" t="s">
        <v>64</v>
      </c>
      <c r="B51" s="113">
        <v>0.3</v>
      </c>
      <c r="C51" s="112"/>
      <c r="D51" s="257">
        <f>[1]ENGIE!D$4</f>
        <v>0.95833333333333337</v>
      </c>
      <c r="E51" s="257">
        <f>[1]ENGIE!E$4</f>
        <v>0.95833333333333337</v>
      </c>
      <c r="F51" s="257">
        <f>[1]ENGIE!F$4</f>
        <v>0.95833333333333337</v>
      </c>
      <c r="G51" s="257">
        <f>[1]ENGIE!G$4</f>
        <v>0.95833333333333337</v>
      </c>
      <c r="H51" s="257">
        <f>[1]ENGIE!H$4</f>
        <v>0.92708333333333337</v>
      </c>
      <c r="I51" s="257">
        <f>[1]ENGIE!I$4</f>
        <v>0.95833333333333337</v>
      </c>
    </row>
    <row r="52" spans="1:9" x14ac:dyDescent="0.2">
      <c r="A52" s="112" t="s">
        <v>65</v>
      </c>
      <c r="B52" s="113">
        <v>0.7</v>
      </c>
      <c r="C52" s="112"/>
      <c r="D52" s="258">
        <f t="shared" ref="D52:I52" si="12">D4</f>
        <v>0.55833333333333335</v>
      </c>
      <c r="E52" s="258">
        <f t="shared" si="12"/>
        <v>0.60833333333333339</v>
      </c>
      <c r="F52" s="258">
        <f t="shared" si="12"/>
        <v>0.62083333333333335</v>
      </c>
      <c r="G52" s="258">
        <f t="shared" si="12"/>
        <v>0.5541666666666667</v>
      </c>
      <c r="H52" s="258">
        <f t="shared" si="12"/>
        <v>0.77083333333333326</v>
      </c>
      <c r="I52" s="258">
        <f t="shared" si="12"/>
        <v>0.60416666666666674</v>
      </c>
    </row>
    <row r="53" spans="1:9" x14ac:dyDescent="0.2">
      <c r="A53" t="s">
        <v>1</v>
      </c>
      <c r="D53" s="50"/>
      <c r="E53" s="50"/>
      <c r="F53" s="50"/>
      <c r="G53" s="50"/>
      <c r="H53" s="50"/>
      <c r="I53" s="50"/>
    </row>
    <row r="54" spans="1:9" x14ac:dyDescent="0.2">
      <c r="A54" s="114" t="s">
        <v>77</v>
      </c>
      <c r="D54" s="50"/>
      <c r="E54" s="50"/>
      <c r="F54" s="50"/>
      <c r="G54" s="50"/>
      <c r="H54" s="50"/>
      <c r="I54" s="50"/>
    </row>
    <row r="55" spans="1:9" x14ac:dyDescent="0.2">
      <c r="A55" s="112" t="s">
        <v>64</v>
      </c>
      <c r="B55" s="112"/>
      <c r="C55" s="112"/>
      <c r="D55" s="258">
        <f>IF(D51="-","-",D51*$B$51)</f>
        <v>0.28749999999999998</v>
      </c>
      <c r="E55" s="258">
        <f t="shared" ref="E55:I55" si="13">IF(E51="-","-",E51*$B$51)</f>
        <v>0.28749999999999998</v>
      </c>
      <c r="F55" s="258">
        <f t="shared" si="13"/>
        <v>0.28749999999999998</v>
      </c>
      <c r="G55" s="258">
        <f t="shared" si="13"/>
        <v>0.28749999999999998</v>
      </c>
      <c r="H55" s="258">
        <f t="shared" si="13"/>
        <v>0.27812500000000001</v>
      </c>
      <c r="I55" s="258">
        <f t="shared" si="13"/>
        <v>0.28749999999999998</v>
      </c>
    </row>
    <row r="56" spans="1:9" x14ac:dyDescent="0.2">
      <c r="A56" s="112" t="s">
        <v>65</v>
      </c>
      <c r="B56" s="112"/>
      <c r="C56" s="112"/>
      <c r="D56" s="258">
        <f t="shared" ref="D56:I56" si="14">IF(D52="-","-",D52*$B$52)</f>
        <v>0.39083333333333331</v>
      </c>
      <c r="E56" s="258">
        <f t="shared" si="14"/>
        <v>0.42583333333333334</v>
      </c>
      <c r="F56" s="258">
        <f t="shared" si="14"/>
        <v>0.43458333333333332</v>
      </c>
      <c r="G56" s="258">
        <f t="shared" si="14"/>
        <v>0.38791666666666669</v>
      </c>
      <c r="H56" s="258">
        <f t="shared" si="14"/>
        <v>0.53958333333333319</v>
      </c>
      <c r="I56" s="258">
        <f t="shared" si="14"/>
        <v>0.42291666666666672</v>
      </c>
    </row>
    <row r="57" spans="1:9" x14ac:dyDescent="0.2">
      <c r="A57" s="115" t="s">
        <v>60</v>
      </c>
      <c r="B57" s="115"/>
      <c r="C57" s="115"/>
      <c r="D57" s="116">
        <f t="shared" ref="D57:I57" si="15">IF(D51="","",IF(D52="","",SUM(D55:D56)))</f>
        <v>0.67833333333333323</v>
      </c>
      <c r="E57" s="116">
        <f t="shared" si="15"/>
        <v>0.71333333333333337</v>
      </c>
      <c r="F57" s="116">
        <f t="shared" si="15"/>
        <v>0.7220833333333333</v>
      </c>
      <c r="G57" s="116">
        <f t="shared" si="15"/>
        <v>0.67541666666666667</v>
      </c>
      <c r="H57" s="116">
        <f t="shared" si="15"/>
        <v>0.81770833333333326</v>
      </c>
      <c r="I57" s="116">
        <f t="shared" si="15"/>
        <v>0.7104166666666667</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2026-03-02T01:37:17Z</dcterms:modified>
</cp:coreProperties>
</file>