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OUNCILS/QUALITY/"/>
    </mc:Choice>
  </mc:AlternateContent>
  <xr:revisionPtr revIDLastSave="0" documentId="13_ncr:1_{6C1A4D92-D63C-DA4C-B33E-DFA84717F959}" xr6:coauthVersionLast="47" xr6:coauthVersionMax="47" xr10:uidLastSave="{00000000-0000-0000-0000-000000000000}"/>
  <bookViews>
    <workbookView xWindow="3420" yWindow="500" windowWidth="23260" windowHeight="13900" tabRatio="762" activeTab="2" xr2:uid="{00000000-000D-0000-FFFF-FFFF00000000}"/>
  </bookViews>
  <sheets>
    <sheet name="REPORT" sheetId="20" r:id="rId1"/>
    <sheet name="LOAD_SHEET" sheetId="30" r:id="rId2"/>
    <sheet name="OVERALL" sheetId="9" r:id="rId3"/>
    <sheet name="BRISBANE" sheetId="21" r:id="rId4"/>
    <sheet name="CASEY" sheetId="22" r:id="rId5"/>
    <sheet name="FRANKSTON" sheetId="23" r:id="rId6"/>
    <sheet name="LAUNCESTON" sheetId="26" r:id="rId7"/>
    <sheet name="MONASH" sheetId="27" r:id="rId8"/>
    <sheet name="ONKAPARINGA" sheetId="28" r:id="rId9"/>
    <sheet name="STIRLING"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A32" i="9"/>
  <c r="L47" i="9" l="1"/>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E12" i="23" s="1"/>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A10" i="30" l="1"/>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1" i="20"/>
  <c r="AB8" i="30" s="1"/>
  <c r="AC10" i="30"/>
  <c r="AD11" i="20"/>
  <c r="AC8" i="30" s="1"/>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D37" i="11"/>
  <c r="D34" i="11" s="1"/>
  <c r="B19" i="9" l="1"/>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3" i="28" l="1"/>
  <c r="B6" i="20"/>
  <c r="B3" i="30" s="1"/>
  <c r="B3" i="22"/>
  <c r="AB5" i="20"/>
  <c r="AA2" i="30" s="1"/>
  <c r="J34" i="9"/>
  <c r="B5" i="11"/>
  <c r="J5" i="9" s="1"/>
  <c r="B5" i="9" s="1"/>
  <c r="J6" i="9"/>
  <c r="D52" i="9"/>
  <c r="J4" i="9"/>
  <c r="B4" i="9"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<sst xmlns="http://schemas.openxmlformats.org/spreadsheetml/2006/main" count="1942" uniqueCount="163">
  <si>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</si>
  <si>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</si>
  <si>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</si>
  <si>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</si>
  <si>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</si>
  <si>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</si>
  <si>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</si>
  <si>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</si>
  <si>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</si>
  <si>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</si>
  <si>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</si>
  <si>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</si>
  <si>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</si>
  <si>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</si>
  <si>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</si>
  <si>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</si>
  <si>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</si>
  <si>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</si>
  <si>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</si>
  <si>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</si>
  <si>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</si>
  <si>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</si>
  <si>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</si>
  <si>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</si>
  <si>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</si>
  <si>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</si>
  <si>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</si>
  <si>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</si>
  <si>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</si>
  <si>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</si>
  <si>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</si>
  <si>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</si>
  <si>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</si>
  <si>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</si>
  <si>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</si>
  <si>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</si>
  <si>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</si>
  <si>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</si>
  <si>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</si>
  <si>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</si>
  <si>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</si>
  <si>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</si>
  <si>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</si>
  <si>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</si>
  <si>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</si>
  <si>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</si>
  <si>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</si>
  <si>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</si>
  <si>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</si>
  <si>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</si>
  <si>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</si>
  <si>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</si>
  <si>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</si>
  <si>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</si>
  <si>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</si>
  <si>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</si>
  <si>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</si>
  <si>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</si>
  <si>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</si>
  <si>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</si>
  <si>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</si>
  <si>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</si>
  <si>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</si>
  <si>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</si>
  <si>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</si>
  <si>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</si>
  <si>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</si>
  <si>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</si>
  <si>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</si>
  <si>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</si>
  <si>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</si>
  <si>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</si>
  <si>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</si>
  <si>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</si>
  <si>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</si>
  <si>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</si>
  <si>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</si>
  <si>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</si>
  <si>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</si>
  <si>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</si>
  <si>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</si>
  <si>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</si>
  <si>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</si>
  <si>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</si>
  <si>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</si>
  <si>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</si>
  <si>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</si>
  <si>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</si>
  <si>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</si>
  <si>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COUNCILS</t>
  </si>
  <si>
    <t>COUNCILS 8</t>
  </si>
  <si>
    <t>COUNCILS 9</t>
  </si>
  <si>
    <t>COUNCILS 10</t>
  </si>
  <si>
    <t>COUNCILS 11</t>
  </si>
  <si>
    <t>COUNCILS 12</t>
  </si>
  <si>
    <t>COUNCILS 13</t>
  </si>
  <si>
    <t>COUNCILS 14</t>
  </si>
  <si>
    <t>COUNCILS 15</t>
  </si>
  <si>
    <t>COUNCILS 16</t>
  </si>
  <si>
    <t>COUNCILS 17</t>
  </si>
  <si>
    <t>COUNCILS 18</t>
  </si>
  <si>
    <t>COUNCILS 19</t>
  </si>
  <si>
    <t>COUNCILS 20</t>
  </si>
  <si>
    <t>COUNCILS 21</t>
  </si>
  <si>
    <t>COUNCILS 22</t>
  </si>
  <si>
    <t>COUNCILS 23</t>
  </si>
  <si>
    <t>COUNCILS 24</t>
  </si>
  <si>
    <t>COUNCILS 25</t>
  </si>
  <si>
    <t>COUNCILS 26</t>
  </si>
  <si>
    <t>COUNCILS 27</t>
  </si>
  <si>
    <t>COUNCILS 28</t>
  </si>
  <si>
    <t>COUNCILS 29</t>
  </si>
  <si>
    <t>COUNCILS 30</t>
  </si>
  <si>
    <t>BRISBANE CITY</t>
  </si>
  <si>
    <t>CITY OF CASEY</t>
  </si>
  <si>
    <t>FRANKSTON CITY</t>
  </si>
  <si>
    <t>CITY OF LAUNCESTON</t>
  </si>
  <si>
    <t>MONASH CITY</t>
  </si>
  <si>
    <t>CITY OF ONKAPARINGA</t>
  </si>
  <si>
    <t>CITY OF STIRLING</t>
  </si>
  <si>
    <t>IMPACT</t>
  </si>
  <si>
    <t>CLARITY</t>
  </si>
  <si>
    <t>JULY 2025</t>
  </si>
  <si>
    <t>n</t>
  </si>
  <si>
    <t>y</t>
  </si>
  <si>
    <t>Ros</t>
  </si>
  <si>
    <t xml:space="preserve">Didn't brand council or ask how she could help in greeting, though manner was warm. Put on hold while looking up info. Used name early enough when caller gave it. </t>
  </si>
  <si>
    <t>Toni</t>
  </si>
  <si>
    <t>Mostly website education - explained how to find the info on council's website, didn't offer to read any of it out while she had the caller on the phone.</t>
  </si>
  <si>
    <t>Dee</t>
  </si>
  <si>
    <t>warm manner, happy to help. Didn't know off the top of his head but willing to find out. Gave some avenues for further research, what to google, a few options to look at.</t>
  </si>
  <si>
    <t>Sophie</t>
  </si>
  <si>
    <t>referred to library for info - did ask area so she could say which library. Offered to put the caller through, also gave their number. Didn't ask how she could help in greeting.</t>
  </si>
  <si>
    <t>Evelina</t>
  </si>
  <si>
    <t>Bit confusing - referred to website, attempted website education but instructions weren't all that clear. Said there was just so much, she was better off looking for herself, but could have asked some questions and been a bit more tailored in her responses.</t>
  </si>
  <si>
    <t>Olivia</t>
  </si>
  <si>
    <t>advised council don't run any, and to search through social media</t>
  </si>
  <si>
    <t>Richard</t>
  </si>
  <si>
    <t>no how can I help or branding council in greeting. Asked a few questions to clarify enquiry. Warm manner, happy to help.</t>
  </si>
  <si>
    <t>wait time</t>
  </si>
  <si>
    <t>Mel</t>
  </si>
  <si>
    <t>Bright warm tone, clear info. Reciprocated caller's up front engagement but didn't ask name or personalise the call.</t>
  </si>
  <si>
    <t>Anita</t>
  </si>
  <si>
    <t>No how can I help in greeting. Misunderstood initial enquiry and thought caller was already in Monash which was confusing for a minute. General info - didn't personalise it or acknowledge any of the caller's personal info. Close felt rushed.</t>
  </si>
  <si>
    <t>No how can I help in greeting. Didn't use name though it was given up front. Friendly manner. Info was just to look up a number for the caller to ring/ advise there's a whole page to look at if she googled, though did also say her sister in law goes to playgroups around the area and they're really good and fun which felt encouraging.</t>
  </si>
  <si>
    <t>Jasmine</t>
  </si>
  <si>
    <t xml:space="preserve">No how can I help in greeting. Asked if caller had previously lived in SA, then explained how to register. Conversational - asked questions to tailor her info to the caller's situation. </t>
  </si>
  <si>
    <t>Danielle</t>
  </si>
  <si>
    <t>Sam</t>
  </si>
  <si>
    <t>Asked a couple of questions to clarify, didn't immediately know but knew how to find out - was clear with info. Tailored info in a conversational way. Warm helpful manner.</t>
  </si>
  <si>
    <t>Straight into providing answers, happy to help. Info was clear. Advised she could do it online, gave timeframes. Costs when caller asked.</t>
  </si>
  <si>
    <t>Didn't brand the council up front, though asked how she could help. Restate and confirm in one - did say 'yeah sure' but energy was strong enough that it was clear and effective. Warm and willing to help, kept informed through waiting for info to load. Website education throughout. Put on hold while looking up info - managed the hold process well.</t>
  </si>
  <si>
    <t>Emily</t>
  </si>
  <si>
    <t xml:space="preserve">No strong language in the statement of intent but bright energy made it still effective 'I can let you know that'. Warm and willing to help. Additional info around pet rego. </t>
  </si>
  <si>
    <t>Kay?</t>
  </si>
  <si>
    <t xml:space="preserve">Greeting had all the elements but very quiet and hard to hear - something going on with operator's volume throughout the call. Asked name but then long silence - didn't use it until much later in the call. Offered to mail out a bin schedule. </t>
  </si>
  <si>
    <t>voicemail saying everyone's busy leave a message</t>
  </si>
  <si>
    <t>Matthew</t>
  </si>
  <si>
    <t>No how can I help in greeting. Some audible background noise but not too distracting. Happy to help but a bit of a Q&amp;A call, answering caller's questions comprehensively. Close felt rushed.</t>
  </si>
  <si>
    <t>Ky?</t>
  </si>
  <si>
    <t xml:space="preserve">Audio issue in the greeting - couldn't hear what she said if she said anything. Website education. Good energy in a confirmation of assistance made it effective and clear. </t>
  </si>
  <si>
    <t>Carol</t>
  </si>
  <si>
    <t>Confirmation of assistance lacked strong language but was delivered with clear positive energy which made it effective. Proactive about giving into re hard waste - caller didn't have to ask. Some website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</si>
</sst>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10" fillId="0" borderId="0" applyFont="0" applyFill="0" applyBorder="0" applyAlignment="0" applyProtection="0"/>
    <xf numFmtId="0" fontId="37" fillId="0" borderId="0"/>
  </cellStyleXfs>
  <cellXfs count="354">
    <xf numFmtId="0" fontId="0" fillId="0" borderId="0" xfId="0"/>
    <xf numFmtId="9" fontId="15" fillId="3" borderId="1" xfId="0" applyNumberFormat="1" applyFont="1" applyFill="1" applyBorder="1" applyAlignment="1">
      <alignment horizontal="center" vertical="center"/>
    </xf>
    <xf numFmtId="0" fontId="16" fillId="4" borderId="0" xfId="0" applyFont="1" applyFill="1" applyAlignment="1">
      <alignment horizontal="right" vertical="center"/>
    </xf>
    <xf numFmtId="9" fontId="0" fillId="2" borderId="2" xfId="1" applyFont="1" applyFill="1" applyBorder="1" applyAlignment="1">
      <alignment horizontal="center" vertical="center"/>
    </xf>
    <xf numFmtId="0" fontId="14" fillId="0" borderId="0" xfId="0" applyFont="1"/>
    <xf numFmtId="0" fontId="18" fillId="4" borderId="0" xfId="0" applyFont="1" applyFill="1" applyAlignment="1">
      <alignment horizontal="right" vertical="center"/>
    </xf>
    <xf numFmtId="9" fontId="0" fillId="2" borderId="0" xfId="1" applyFont="1" applyFill="1" applyBorder="1" applyAlignment="1">
      <alignment horizontal="center" vertical="center"/>
    </xf>
    <xf numFmtId="9" fontId="21" fillId="6" borderId="3" xfId="0" applyNumberFormat="1" applyFont="1" applyFill="1" applyBorder="1" applyAlignment="1">
      <alignment horizontal="center"/>
    </xf>
    <xf numFmtId="0" fontId="21" fillId="6" borderId="4" xfId="0" applyFont="1" applyFill="1" applyBorder="1" applyAlignment="1">
      <alignment horizontal="center"/>
    </xf>
    <xf numFmtId="0" fontId="21" fillId="6" borderId="5" xfId="0" applyFont="1" applyFill="1" applyBorder="1" applyAlignment="1">
      <alignment horizontal="center"/>
    </xf>
    <xf numFmtId="9" fontId="15" fillId="0" borderId="1" xfId="0" applyNumberFormat="1" applyFont="1" applyBorder="1" applyAlignment="1">
      <alignment horizontal="center" vertical="center"/>
    </xf>
    <xf numFmtId="0" fontId="24" fillId="12" borderId="3" xfId="0" applyFont="1" applyFill="1" applyBorder="1" applyAlignment="1">
      <alignment horizontal="center" vertical="center"/>
    </xf>
    <xf numFmtId="0" fontId="25" fillId="13" borderId="3" xfId="0" applyFont="1" applyFill="1" applyBorder="1" applyAlignment="1">
      <alignment horizontal="center" vertical="center"/>
    </xf>
    <xf numFmtId="0" fontId="24" fillId="7" borderId="4" xfId="0" applyFont="1" applyFill="1" applyBorder="1" applyAlignment="1">
      <alignment horizontal="center" vertical="center"/>
    </xf>
    <xf numFmtId="0" fontId="24" fillId="9" borderId="5" xfId="0" applyFont="1" applyFill="1" applyBorder="1" applyAlignment="1">
      <alignment horizontal="center" vertical="center"/>
    </xf>
    <xf numFmtId="0" fontId="24" fillId="5" borderId="5" xfId="0" applyFont="1" applyFill="1" applyBorder="1" applyAlignment="1">
      <alignment horizontal="center" vertical="center"/>
    </xf>
    <xf numFmtId="0" fontId="27" fillId="14" borderId="7" xfId="0" applyFont="1" applyFill="1" applyBorder="1" applyAlignment="1">
      <alignment horizontal="center"/>
    </xf>
    <xf numFmtId="0" fontId="23" fillId="14" borderId="0" xfId="0" applyFont="1" applyFill="1" applyAlignment="1">
      <alignment horizontal="right" vertical="center"/>
    </xf>
    <xf numFmtId="9" fontId="0" fillId="2" borderId="8" xfId="1" applyFont="1" applyFill="1" applyBorder="1" applyAlignment="1">
      <alignment horizontal="right" vertical="center"/>
    </xf>
    <xf numFmtId="0" fontId="26" fillId="15" borderId="0" xfId="0" applyFont="1" applyFill="1" applyAlignment="1">
      <alignment vertical="center"/>
    </xf>
    <xf numFmtId="0" fontId="28" fillId="16" borderId="0" xfId="0" applyFont="1" applyFill="1" applyAlignment="1">
      <alignment horizontal="right" vertical="center"/>
    </xf>
    <xf numFmtId="9" fontId="11" fillId="17" borderId="1" xfId="0" applyNumberFormat="1" applyFont="1" applyFill="1" applyBorder="1" applyAlignment="1">
      <alignment horizontal="center" vertical="center"/>
    </xf>
    <xf numFmtId="0" fontId="29" fillId="14" borderId="6" xfId="0" applyFont="1" applyFill="1" applyBorder="1" applyAlignment="1">
      <alignment vertical="center"/>
    </xf>
    <xf numFmtId="9" fontId="31" fillId="11" borderId="1" xfId="0" applyNumberFormat="1" applyFont="1" applyFill="1" applyBorder="1" applyAlignment="1">
      <alignment horizontal="left" vertical="top" wrapText="1"/>
    </xf>
    <xf numFmtId="1" fontId="20" fillId="15" borderId="2" xfId="1" applyNumberFormat="1" applyFont="1" applyFill="1" applyBorder="1" applyAlignment="1">
      <alignment horizontal="center" vertical="center"/>
    </xf>
    <xf numFmtId="0" fontId="28" fillId="0" borderId="0" xfId="0" applyFont="1" applyAlignment="1">
      <alignment vertical="center"/>
    </xf>
    <xf numFmtId="1" fontId="14" fillId="3" borderId="2" xfId="1" applyNumberFormat="1" applyFont="1" applyFill="1" applyBorder="1" applyAlignment="1">
      <alignment horizontal="center" vertical="center"/>
    </xf>
    <xf numFmtId="1" fontId="17" fillId="3" borderId="0" xfId="0" applyNumberFormat="1" applyFont="1" applyFill="1" applyAlignment="1">
      <alignment horizontal="center" vertical="center"/>
    </xf>
    <xf numFmtId="9" fontId="30" fillId="18" borderId="1" xfId="0" applyNumberFormat="1" applyFont="1" applyFill="1" applyBorder="1" applyAlignment="1">
      <alignment horizontal="center" vertical="center"/>
    </xf>
    <xf numFmtId="9" fontId="30" fillId="18" borderId="1" xfId="1" applyFont="1" applyFill="1" applyBorder="1" applyAlignment="1">
      <alignment horizontal="center" vertical="center"/>
    </xf>
    <xf numFmtId="9" fontId="11" fillId="10" borderId="1" xfId="0" applyNumberFormat="1" applyFont="1" applyFill="1" applyBorder="1" applyAlignment="1">
      <alignment horizontal="center" vertical="center"/>
    </xf>
    <xf numFmtId="17" fontId="20" fillId="11" borderId="0" xfId="0" applyNumberFormat="1" applyFont="1" applyFill="1" applyAlignment="1">
      <alignment horizontal="center" vertical="center"/>
    </xf>
    <xf numFmtId="17" fontId="20" fillId="0" borderId="0" xfId="0" applyNumberFormat="1" applyFont="1" applyAlignment="1">
      <alignment horizontal="left" vertical="center"/>
    </xf>
    <xf numFmtId="9" fontId="0" fillId="3" borderId="8" xfId="1" applyFont="1" applyFill="1" applyBorder="1" applyAlignment="1">
      <alignment horizontal="right" vertical="center"/>
    </xf>
    <xf numFmtId="165" fontId="10" fillId="2" borderId="2" xfId="1" applyNumberFormat="1" applyFont="1" applyFill="1" applyBorder="1" applyAlignment="1">
      <alignment horizontal="center" vertical="center"/>
    </xf>
    <xf numFmtId="0" fontId="13" fillId="21" borderId="0" xfId="0" applyFont="1" applyFill="1" applyAlignment="1">
      <alignment horizontal="center" vertical="center"/>
    </xf>
    <xf numFmtId="0" fontId="28" fillId="20" borderId="11" xfId="0" applyFont="1" applyFill="1" applyBorder="1" applyAlignment="1">
      <alignment horizontal="right" vertical="center"/>
    </xf>
    <xf numFmtId="164" fontId="11" fillId="17" borderId="1" xfId="0" applyNumberFormat="1" applyFont="1" applyFill="1" applyBorder="1" applyAlignment="1">
      <alignment horizontal="center" vertical="center"/>
    </xf>
    <xf numFmtId="164" fontId="19"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4" fillId="5" borderId="0" xfId="0" applyFont="1" applyFill="1" applyAlignment="1">
      <alignment horizontal="right" vertical="center"/>
    </xf>
    <xf numFmtId="164" fontId="11" fillId="0" borderId="1" xfId="0" applyNumberFormat="1" applyFont="1" applyBorder="1" applyAlignment="1">
      <alignment horizontal="center" vertical="center"/>
    </xf>
    <xf numFmtId="9" fontId="11"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3" fillId="0" borderId="0" xfId="0" applyFont="1" applyAlignment="1">
      <alignment horizontal="center" vertical="center"/>
    </xf>
    <xf numFmtId="1" fontId="32" fillId="0" borderId="2" xfId="1" applyNumberFormat="1" applyFont="1" applyFill="1" applyBorder="1" applyAlignment="1">
      <alignment horizontal="center" vertical="center"/>
    </xf>
    <xf numFmtId="9" fontId="9" fillId="2" borderId="2" xfId="1" applyFont="1" applyFill="1" applyBorder="1" applyAlignment="1">
      <alignment horizontal="center" vertical="center"/>
    </xf>
    <xf numFmtId="0" fontId="0" fillId="0" borderId="0" xfId="0" applyAlignment="1">
      <alignment horizontal="center"/>
    </xf>
    <xf numFmtId="164" fontId="31" fillId="0" borderId="0" xfId="1" applyNumberFormat="1" applyFont="1" applyAlignment="1">
      <alignment horizontal="center" vertical="center"/>
    </xf>
    <xf numFmtId="0" fontId="23" fillId="14" borderId="12" xfId="0" applyFont="1" applyFill="1" applyBorder="1" applyAlignment="1">
      <alignment horizontal="center" vertical="center"/>
    </xf>
    <xf numFmtId="164" fontId="35" fillId="0" borderId="13" xfId="0" applyNumberFormat="1" applyFont="1" applyBorder="1" applyAlignment="1">
      <alignment horizontal="center" vertical="center"/>
    </xf>
    <xf numFmtId="164" fontId="11" fillId="15" borderId="14" xfId="0" applyNumberFormat="1" applyFont="1" applyFill="1" applyBorder="1" applyAlignment="1">
      <alignment horizontal="center" vertical="center"/>
    </xf>
    <xf numFmtId="164" fontId="11" fillId="18" borderId="15" xfId="0" applyNumberFormat="1" applyFont="1" applyFill="1" applyBorder="1" applyAlignment="1">
      <alignment horizontal="center" vertical="center"/>
    </xf>
    <xf numFmtId="164" fontId="11" fillId="15" borderId="16" xfId="0" applyNumberFormat="1" applyFont="1" applyFill="1" applyBorder="1" applyAlignment="1">
      <alignment horizontal="center" vertical="center"/>
    </xf>
    <xf numFmtId="164" fontId="11" fillId="18" borderId="17" xfId="0" applyNumberFormat="1" applyFont="1" applyFill="1" applyBorder="1" applyAlignment="1">
      <alignment horizontal="center" vertical="center"/>
    </xf>
    <xf numFmtId="9" fontId="10" fillId="11" borderId="18" xfId="1" applyFont="1" applyFill="1" applyBorder="1" applyAlignment="1">
      <alignment horizontal="right" vertical="center"/>
    </xf>
    <xf numFmtId="164" fontId="31" fillId="11" borderId="2" xfId="1" applyNumberFormat="1" applyFont="1" applyFill="1" applyBorder="1" applyAlignment="1">
      <alignment horizontal="center" vertical="center"/>
    </xf>
    <xf numFmtId="0" fontId="31" fillId="0" borderId="0" xfId="0" applyFont="1" applyAlignment="1">
      <alignment horizontal="right"/>
    </xf>
    <xf numFmtId="164" fontId="31" fillId="11" borderId="0" xfId="1" applyNumberFormat="1" applyFont="1" applyFill="1" applyAlignment="1">
      <alignment horizontal="center" vertical="center"/>
    </xf>
    <xf numFmtId="9" fontId="36" fillId="23" borderId="1" xfId="0" applyNumberFormat="1" applyFont="1" applyFill="1" applyBorder="1" applyAlignment="1">
      <alignment horizontal="center" vertical="center"/>
    </xf>
    <xf numFmtId="1" fontId="14" fillId="0" borderId="0" xfId="1" applyNumberFormat="1" applyFont="1" applyFill="1" applyBorder="1" applyAlignment="1">
      <alignment horizontal="center" vertical="center"/>
    </xf>
    <xf numFmtId="1" fontId="14" fillId="0" borderId="0" xfId="0" applyNumberFormat="1" applyFont="1" applyAlignment="1">
      <alignment horizontal="center" vertical="center"/>
    </xf>
    <xf numFmtId="0" fontId="38" fillId="2" borderId="0" xfId="2" applyFont="1" applyFill="1" applyAlignment="1">
      <alignment horizontal="center" wrapText="1"/>
    </xf>
    <xf numFmtId="0" fontId="38" fillId="2" borderId="0" xfId="2" applyFont="1" applyFill="1" applyAlignment="1">
      <alignment wrapText="1"/>
    </xf>
    <xf numFmtId="0" fontId="39" fillId="25" borderId="21" xfId="2" applyFont="1" applyFill="1" applyBorder="1" applyAlignment="1">
      <alignment horizontal="center" vertical="center" wrapText="1"/>
    </xf>
    <xf numFmtId="0" fontId="40" fillId="25" borderId="0" xfId="2" applyFont="1" applyFill="1" applyAlignment="1">
      <alignment horizontal="center" vertical="center" wrapText="1"/>
    </xf>
    <xf numFmtId="49" fontId="41" fillId="3" borderId="24" xfId="1" applyNumberFormat="1" applyFont="1" applyFill="1" applyBorder="1" applyAlignment="1">
      <alignment horizontal="center" vertical="center" wrapText="1"/>
    </xf>
    <xf numFmtId="49" fontId="41" fillId="25" borderId="25" xfId="1" applyNumberFormat="1" applyFont="1" applyFill="1" applyBorder="1" applyAlignment="1">
      <alignment horizontal="center" vertical="center" wrapText="1"/>
    </xf>
    <xf numFmtId="164" fontId="31" fillId="0" borderId="28" xfId="2" applyNumberFormat="1" applyFont="1" applyBorder="1" applyAlignment="1">
      <alignment horizontal="center" vertical="center"/>
    </xf>
    <xf numFmtId="164" fontId="31" fillId="0" borderId="29" xfId="2" applyNumberFormat="1" applyFont="1" applyBorder="1" applyAlignment="1">
      <alignment horizontal="center" vertical="center"/>
    </xf>
    <xf numFmtId="164" fontId="37" fillId="25" borderId="29" xfId="2" applyNumberFormat="1" applyFill="1" applyBorder="1" applyAlignment="1">
      <alignment wrapText="1"/>
    </xf>
    <xf numFmtId="164" fontId="37" fillId="25" borderId="29" xfId="2" applyNumberFormat="1" applyFill="1" applyBorder="1" applyAlignment="1">
      <alignment horizontal="center" wrapText="1"/>
    </xf>
    <xf numFmtId="0" fontId="37" fillId="0" borderId="0" xfId="2" applyAlignment="1">
      <alignment horizontal="center" wrapText="1"/>
    </xf>
    <xf numFmtId="0" fontId="37" fillId="0" borderId="0" xfId="2" applyAlignment="1">
      <alignment wrapText="1"/>
    </xf>
    <xf numFmtId="0" fontId="38" fillId="2" borderId="0" xfId="2" applyFont="1" applyFill="1"/>
    <xf numFmtId="0" fontId="37" fillId="0" borderId="0" xfId="2"/>
    <xf numFmtId="0" fontId="38" fillId="2" borderId="0" xfId="2" applyFont="1" applyFill="1" applyAlignment="1">
      <alignment horizontal="center" vertical="center" wrapText="1"/>
    </xf>
    <xf numFmtId="0" fontId="37" fillId="0" borderId="0" xfId="2" applyAlignment="1">
      <alignment horizontal="center" vertical="center" wrapText="1"/>
    </xf>
    <xf numFmtId="0" fontId="31" fillId="2" borderId="0" xfId="2" applyFont="1" applyFill="1" applyAlignment="1">
      <alignment horizontal="center" wrapText="1"/>
    </xf>
    <xf numFmtId="164" fontId="37" fillId="0" borderId="28" xfId="2" applyNumberFormat="1" applyBorder="1" applyAlignment="1">
      <alignment horizontal="center" vertical="center" wrapText="1"/>
    </xf>
    <xf numFmtId="164" fontId="37" fillId="0" borderId="29" xfId="2" applyNumberFormat="1" applyBorder="1" applyAlignment="1">
      <alignment horizontal="center" vertical="center" wrapText="1"/>
    </xf>
    <xf numFmtId="164" fontId="37" fillId="0" borderId="30" xfId="2" applyNumberFormat="1" applyBorder="1" applyAlignment="1">
      <alignment horizontal="center" vertical="center" wrapText="1"/>
    </xf>
    <xf numFmtId="164" fontId="28" fillId="0" borderId="29" xfId="2" applyNumberFormat="1" applyFont="1" applyBorder="1" applyAlignment="1">
      <alignment horizontal="center" vertical="center" wrapText="1"/>
    </xf>
    <xf numFmtId="165" fontId="37"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3" fillId="26" borderId="0" xfId="0" applyFont="1" applyFill="1" applyAlignment="1">
      <alignment horizontal="center" vertical="center"/>
    </xf>
    <xf numFmtId="0" fontId="45" fillId="27" borderId="41" xfId="0" applyFont="1" applyFill="1" applyBorder="1" applyAlignment="1">
      <alignment vertical="center"/>
    </xf>
    <xf numFmtId="164" fontId="20" fillId="27" borderId="41" xfId="0" applyNumberFormat="1" applyFont="1" applyFill="1" applyBorder="1" applyAlignment="1">
      <alignment horizontal="center" vertical="center"/>
    </xf>
    <xf numFmtId="0" fontId="31" fillId="0" borderId="0" xfId="0" applyFont="1" applyAlignment="1">
      <alignment horizontal="center" vertical="center"/>
    </xf>
    <xf numFmtId="0" fontId="11" fillId="15" borderId="41" xfId="0" applyFont="1" applyFill="1" applyBorder="1" applyAlignment="1">
      <alignment horizontal="right" vertical="center"/>
    </xf>
    <xf numFmtId="164" fontId="11" fillId="15" borderId="41" xfId="1" applyNumberFormat="1" applyFont="1" applyFill="1" applyBorder="1" applyAlignment="1">
      <alignment horizontal="center" vertical="center"/>
    </xf>
    <xf numFmtId="9" fontId="31" fillId="31" borderId="41" xfId="0" applyNumberFormat="1" applyFont="1" applyFill="1" applyBorder="1" applyAlignment="1">
      <alignment horizontal="center" vertical="center"/>
    </xf>
    <xf numFmtId="164" fontId="11" fillId="3" borderId="41" xfId="0" applyNumberFormat="1" applyFont="1" applyFill="1" applyBorder="1" applyAlignment="1">
      <alignment horizontal="center"/>
    </xf>
    <xf numFmtId="0" fontId="34" fillId="14" borderId="41" xfId="0" applyFont="1" applyFill="1" applyBorder="1" applyAlignment="1">
      <alignment horizontal="right" vertical="center"/>
    </xf>
    <xf numFmtId="164" fontId="34" fillId="14" borderId="41" xfId="1" applyNumberFormat="1" applyFont="1" applyFill="1" applyBorder="1" applyAlignment="1">
      <alignment horizontal="center" vertical="center"/>
    </xf>
    <xf numFmtId="164" fontId="11" fillId="15" borderId="41" xfId="0" applyNumberFormat="1" applyFont="1" applyFill="1" applyBorder="1" applyAlignment="1">
      <alignment horizontal="center"/>
    </xf>
    <xf numFmtId="164" fontId="34"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1" fillId="31" borderId="41" xfId="0" applyFont="1" applyFill="1" applyBorder="1" applyAlignment="1">
      <alignment horizontal="right"/>
    </xf>
    <xf numFmtId="164" fontId="10"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1" fillId="32" borderId="41" xfId="0" applyNumberFormat="1" applyFont="1" applyFill="1" applyBorder="1" applyAlignment="1">
      <alignment horizontal="right"/>
    </xf>
    <xf numFmtId="9" fontId="0" fillId="10" borderId="41" xfId="1" applyFont="1" applyFill="1" applyBorder="1" applyAlignment="1">
      <alignment horizontal="center"/>
    </xf>
    <xf numFmtId="164" fontId="31" fillId="0" borderId="41" xfId="0" applyNumberFormat="1" applyFont="1" applyBorder="1" applyAlignment="1">
      <alignment horizontal="center" vertical="center"/>
    </xf>
    <xf numFmtId="9" fontId="43" fillId="26" borderId="2" xfId="1" applyFont="1" applyFill="1" applyBorder="1" applyAlignment="1">
      <alignment horizontal="center" vertical="center"/>
    </xf>
    <xf numFmtId="164" fontId="43" fillId="26" borderId="2" xfId="1" applyNumberFormat="1" applyFont="1" applyFill="1" applyBorder="1" applyAlignment="1">
      <alignment horizontal="center" vertical="center"/>
    </xf>
    <xf numFmtId="0" fontId="46" fillId="26" borderId="0" xfId="0" applyFont="1" applyFill="1"/>
    <xf numFmtId="0" fontId="0" fillId="0" borderId="41" xfId="0" applyBorder="1"/>
    <xf numFmtId="9" fontId="31" fillId="0" borderId="41" xfId="0" applyNumberFormat="1" applyFont="1" applyBorder="1" applyAlignment="1">
      <alignment horizontal="center" vertical="center"/>
    </xf>
    <xf numFmtId="0" fontId="11" fillId="0" borderId="0" xfId="0" applyFont="1"/>
    <xf numFmtId="0" fontId="11" fillId="29" borderId="41" xfId="0" applyFont="1" applyFill="1" applyBorder="1"/>
    <xf numFmtId="164" fontId="11" fillId="29" borderId="41" xfId="0" applyNumberFormat="1" applyFont="1" applyFill="1" applyBorder="1" applyAlignment="1">
      <alignment horizontal="center"/>
    </xf>
    <xf numFmtId="0" fontId="40"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9" fillId="25" borderId="42" xfId="2" applyFont="1" applyFill="1" applyBorder="1" applyAlignment="1">
      <alignment horizontal="center" vertical="center" wrapText="1"/>
    </xf>
    <xf numFmtId="0" fontId="29" fillId="25" borderId="50" xfId="2" applyFont="1" applyFill="1" applyBorder="1" applyAlignment="1">
      <alignment horizontal="center" vertical="center" wrapText="1"/>
    </xf>
    <xf numFmtId="49" fontId="28" fillId="36" borderId="47" xfId="1" applyNumberFormat="1" applyFont="1" applyFill="1" applyBorder="1" applyAlignment="1">
      <alignment horizontal="center" vertical="center" wrapText="1"/>
    </xf>
    <xf numFmtId="49" fontId="41" fillId="36" borderId="24" xfId="1" applyNumberFormat="1" applyFont="1" applyFill="1" applyBorder="1" applyAlignment="1">
      <alignment horizontal="center" vertical="center" wrapText="1"/>
    </xf>
    <xf numFmtId="49" fontId="28" fillId="37" borderId="54" xfId="1" applyNumberFormat="1" applyFont="1" applyFill="1" applyBorder="1" applyAlignment="1">
      <alignment horizontal="center" vertical="center" wrapText="1"/>
    </xf>
    <xf numFmtId="49" fontId="41" fillId="37" borderId="47" xfId="1" applyNumberFormat="1" applyFont="1" applyFill="1" applyBorder="1" applyAlignment="1">
      <alignment horizontal="center" vertical="center" wrapText="1"/>
    </xf>
    <xf numFmtId="49" fontId="41" fillId="37" borderId="24" xfId="1" applyNumberFormat="1" applyFont="1" applyFill="1" applyBorder="1" applyAlignment="1">
      <alignment horizontal="center" vertical="center" wrapText="1"/>
    </xf>
    <xf numFmtId="49" fontId="41" fillId="37" borderId="26" xfId="1" applyNumberFormat="1" applyFont="1" applyFill="1" applyBorder="1" applyAlignment="1">
      <alignment horizontal="center" vertical="center" wrapText="1"/>
    </xf>
    <xf numFmtId="49" fontId="28" fillId="38" borderId="46" xfId="1" applyNumberFormat="1" applyFont="1" applyFill="1" applyBorder="1" applyAlignment="1">
      <alignment horizontal="center" vertical="center" wrapText="1"/>
    </xf>
    <xf numFmtId="49" fontId="41" fillId="38" borderId="24" xfId="1" applyNumberFormat="1" applyFont="1" applyFill="1" applyBorder="1" applyAlignment="1">
      <alignment horizontal="center" vertical="center" wrapText="1"/>
    </xf>
    <xf numFmtId="49" fontId="41" fillId="38" borderId="26" xfId="1" applyNumberFormat="1" applyFont="1" applyFill="1" applyBorder="1" applyAlignment="1">
      <alignment horizontal="center" vertical="center" wrapText="1"/>
    </xf>
    <xf numFmtId="49" fontId="28" fillId="24" borderId="54" xfId="1" applyNumberFormat="1" applyFont="1" applyFill="1" applyBorder="1" applyAlignment="1">
      <alignment horizontal="center" vertical="center" wrapText="1"/>
    </xf>
    <xf numFmtId="49" fontId="41" fillId="3" borderId="47" xfId="1" applyNumberFormat="1" applyFont="1" applyFill="1" applyBorder="1" applyAlignment="1">
      <alignment horizontal="center" vertical="center" wrapText="1"/>
    </xf>
    <xf numFmtId="49" fontId="28" fillId="39" borderId="54" xfId="1" applyNumberFormat="1" applyFont="1" applyFill="1" applyBorder="1" applyAlignment="1">
      <alignment horizontal="center" vertical="center" wrapText="1"/>
    </xf>
    <xf numFmtId="49" fontId="41" fillId="39" borderId="47" xfId="1" applyNumberFormat="1" applyFont="1" applyFill="1" applyBorder="1" applyAlignment="1">
      <alignment horizontal="center" vertical="center" wrapText="1"/>
    </xf>
    <xf numFmtId="49" fontId="41" fillId="39" borderId="24" xfId="1" applyNumberFormat="1" applyFont="1" applyFill="1" applyBorder="1" applyAlignment="1">
      <alignment horizontal="center" vertical="center" wrapText="1"/>
    </xf>
    <xf numFmtId="49" fontId="41" fillId="39" borderId="25" xfId="1" applyNumberFormat="1" applyFont="1" applyFill="1" applyBorder="1" applyAlignment="1">
      <alignment horizontal="center" vertical="center" wrapText="1"/>
    </xf>
    <xf numFmtId="9" fontId="47" fillId="35" borderId="25" xfId="1" applyFont="1" applyFill="1" applyBorder="1" applyAlignment="1">
      <alignment horizontal="center" vertical="center" wrapText="1"/>
    </xf>
    <xf numFmtId="9" fontId="31" fillId="25" borderId="55" xfId="1" applyFont="1" applyFill="1" applyBorder="1" applyAlignment="1">
      <alignment horizontal="center" vertical="center" wrapText="1"/>
    </xf>
    <xf numFmtId="49" fontId="34" fillId="25" borderId="56" xfId="1" applyNumberFormat="1" applyFont="1" applyFill="1" applyBorder="1" applyAlignment="1">
      <alignment horizontal="center" vertical="center" wrapText="1"/>
    </xf>
    <xf numFmtId="49" fontId="38" fillId="25" borderId="57" xfId="1" applyNumberFormat="1" applyFont="1" applyFill="1" applyBorder="1" applyAlignment="1">
      <alignment horizontal="center" vertical="center" wrapText="1"/>
    </xf>
    <xf numFmtId="164" fontId="26" fillId="29" borderId="58" xfId="2" applyNumberFormat="1" applyFont="1" applyFill="1" applyBorder="1" applyAlignment="1">
      <alignment horizontal="center" vertical="center"/>
    </xf>
    <xf numFmtId="164" fontId="20" fillId="0" borderId="27" xfId="1" applyNumberFormat="1" applyFont="1" applyFill="1" applyBorder="1" applyAlignment="1">
      <alignment horizontal="center" vertical="center"/>
    </xf>
    <xf numFmtId="164" fontId="11" fillId="36" borderId="59" xfId="2" applyNumberFormat="1" applyFont="1" applyFill="1" applyBorder="1" applyAlignment="1">
      <alignment horizontal="center" vertical="center"/>
    </xf>
    <xf numFmtId="164" fontId="28" fillId="37" borderId="27" xfId="2" applyNumberFormat="1" applyFont="1" applyFill="1" applyBorder="1" applyAlignment="1">
      <alignment horizontal="center" vertical="center" wrapText="1"/>
    </xf>
    <xf numFmtId="164" fontId="37" fillId="0" borderId="60" xfId="2" applyNumberFormat="1" applyBorder="1" applyAlignment="1">
      <alignment horizontal="center" vertical="center" wrapText="1"/>
    </xf>
    <xf numFmtId="164" fontId="28" fillId="38" borderId="27" xfId="2" applyNumberFormat="1" applyFont="1" applyFill="1" applyBorder="1" applyAlignment="1">
      <alignment horizontal="center" vertical="center" wrapText="1"/>
    </xf>
    <xf numFmtId="164" fontId="28" fillId="24" borderId="27" xfId="2" applyNumberFormat="1" applyFont="1" applyFill="1" applyBorder="1" applyAlignment="1">
      <alignment horizontal="center" vertical="center" wrapText="1"/>
    </xf>
    <xf numFmtId="164" fontId="37" fillId="0" borderId="61" xfId="2" applyNumberFormat="1" applyBorder="1" applyAlignment="1">
      <alignment horizontal="center" vertical="center" wrapText="1"/>
    </xf>
    <xf numFmtId="164" fontId="28" fillId="39" borderId="27" xfId="2" applyNumberFormat="1" applyFont="1" applyFill="1" applyBorder="1" applyAlignment="1">
      <alignment horizontal="center" vertical="center" wrapText="1"/>
    </xf>
    <xf numFmtId="164" fontId="20" fillId="3" borderId="27" xfId="1" applyNumberFormat="1" applyFont="1" applyFill="1" applyBorder="1" applyAlignment="1">
      <alignment horizontal="center" vertical="center"/>
    </xf>
    <xf numFmtId="164" fontId="31" fillId="3" borderId="28" xfId="2" applyNumberFormat="1" applyFont="1" applyFill="1" applyBorder="1" applyAlignment="1">
      <alignment horizontal="center" vertical="center"/>
    </xf>
    <xf numFmtId="164" fontId="31" fillId="3" borderId="29" xfId="2" applyNumberFormat="1" applyFont="1" applyFill="1" applyBorder="1" applyAlignment="1">
      <alignment horizontal="center" vertical="center"/>
    </xf>
    <xf numFmtId="164" fontId="37" fillId="3" borderId="28" xfId="2" applyNumberFormat="1" applyFill="1" applyBorder="1" applyAlignment="1">
      <alignment horizontal="center" vertical="center" wrapText="1"/>
    </xf>
    <xf numFmtId="164" fontId="37" fillId="3" borderId="30" xfId="2" applyNumberFormat="1" applyFill="1" applyBorder="1" applyAlignment="1">
      <alignment horizontal="center" vertical="center" wrapText="1"/>
    </xf>
    <xf numFmtId="164" fontId="37" fillId="3" borderId="29" xfId="2" applyNumberFormat="1" applyFill="1" applyBorder="1" applyAlignment="1">
      <alignment horizontal="center" vertical="center" wrapText="1"/>
    </xf>
    <xf numFmtId="164" fontId="37" fillId="3" borderId="60" xfId="2" applyNumberFormat="1" applyFill="1" applyBorder="1" applyAlignment="1">
      <alignment horizontal="center" vertical="center" wrapText="1"/>
    </xf>
    <xf numFmtId="164" fontId="37" fillId="3" borderId="61" xfId="2" applyNumberFormat="1" applyFill="1" applyBorder="1" applyAlignment="1">
      <alignment horizontal="center" vertical="center" wrapText="1"/>
    </xf>
    <xf numFmtId="164" fontId="28" fillId="3" borderId="29" xfId="2" applyNumberFormat="1" applyFont="1" applyFill="1" applyBorder="1" applyAlignment="1">
      <alignment horizontal="center" vertical="center" wrapText="1"/>
    </xf>
    <xf numFmtId="165" fontId="37" fillId="3" borderId="29" xfId="2" applyNumberFormat="1" applyFill="1" applyBorder="1" applyAlignment="1">
      <alignment horizontal="center" vertical="center" wrapText="1"/>
    </xf>
    <xf numFmtId="164" fontId="26" fillId="29" borderId="23" xfId="2" applyNumberFormat="1" applyFont="1" applyFill="1" applyBorder="1" applyAlignment="1">
      <alignment horizontal="center" vertical="center"/>
    </xf>
    <xf numFmtId="164" fontId="11" fillId="36" borderId="62" xfId="2" applyNumberFormat="1" applyFont="1" applyFill="1" applyBorder="1" applyAlignment="1">
      <alignment horizontal="center" vertical="center"/>
    </xf>
    <xf numFmtId="164" fontId="31" fillId="3" borderId="9" xfId="2" applyNumberFormat="1" applyFont="1" applyFill="1" applyBorder="1" applyAlignment="1">
      <alignment horizontal="center" vertical="center"/>
    </xf>
    <xf numFmtId="164" fontId="31" fillId="3" borderId="63" xfId="2" applyNumberFormat="1" applyFont="1" applyFill="1" applyBorder="1" applyAlignment="1">
      <alignment horizontal="center" vertical="center"/>
    </xf>
    <xf numFmtId="164" fontId="37" fillId="3" borderId="9" xfId="2" applyNumberFormat="1" applyFill="1" applyBorder="1" applyAlignment="1">
      <alignment horizontal="center" vertical="center" wrapText="1"/>
    </xf>
    <xf numFmtId="164" fontId="37" fillId="3" borderId="1" xfId="2" applyNumberFormat="1" applyFill="1" applyBorder="1" applyAlignment="1">
      <alignment horizontal="center" vertical="center" wrapText="1"/>
    </xf>
    <xf numFmtId="0" fontId="48" fillId="0" borderId="40" xfId="0" applyFont="1" applyBorder="1" applyAlignment="1">
      <alignment horizontal="left" vertical="center"/>
    </xf>
    <xf numFmtId="164" fontId="26" fillId="29" borderId="40" xfId="2" applyNumberFormat="1" applyFont="1" applyFill="1" applyBorder="1" applyAlignment="1">
      <alignment horizontal="center" vertical="center"/>
    </xf>
    <xf numFmtId="164" fontId="48" fillId="27" borderId="64" xfId="2" applyNumberFormat="1" applyFont="1" applyFill="1" applyBorder="1" applyAlignment="1">
      <alignment horizontal="center" vertical="center" wrapText="1"/>
    </xf>
    <xf numFmtId="164" fontId="48" fillId="36" borderId="54" xfId="2" applyNumberFormat="1" applyFont="1" applyFill="1" applyBorder="1" applyAlignment="1">
      <alignment horizontal="center" vertical="center" wrapText="1"/>
    </xf>
    <xf numFmtId="164" fontId="48" fillId="29" borderId="65" xfId="2" applyNumberFormat="1" applyFont="1" applyFill="1" applyBorder="1" applyAlignment="1">
      <alignment horizontal="center" vertical="center" wrapText="1"/>
    </xf>
    <xf numFmtId="164" fontId="48" fillId="29" borderId="66" xfId="2" applyNumberFormat="1" applyFont="1" applyFill="1" applyBorder="1" applyAlignment="1">
      <alignment horizontal="center" vertical="center" wrapText="1"/>
    </xf>
    <xf numFmtId="164" fontId="48" fillId="29" borderId="67" xfId="2" applyNumberFormat="1" applyFont="1" applyFill="1" applyBorder="1" applyAlignment="1">
      <alignment horizontal="center" vertical="center" wrapText="1"/>
    </xf>
    <xf numFmtId="164" fontId="48" fillId="37" borderId="68" xfId="2" applyNumberFormat="1" applyFont="1" applyFill="1" applyBorder="1" applyAlignment="1">
      <alignment horizontal="center" vertical="center" wrapText="1"/>
    </xf>
    <xf numFmtId="164" fontId="48" fillId="29" borderId="69" xfId="2" applyNumberFormat="1" applyFont="1" applyFill="1" applyBorder="1" applyAlignment="1">
      <alignment horizontal="center" vertical="center" wrapText="1"/>
    </xf>
    <xf numFmtId="164" fontId="48" fillId="29" borderId="70" xfId="2" applyNumberFormat="1" applyFont="1" applyFill="1" applyBorder="1" applyAlignment="1">
      <alignment horizontal="center" vertical="center" wrapText="1"/>
    </xf>
    <xf numFmtId="164" fontId="48" fillId="29" borderId="71" xfId="2" applyNumberFormat="1" applyFont="1" applyFill="1" applyBorder="1" applyAlignment="1">
      <alignment horizontal="center" vertical="center" wrapText="1"/>
    </xf>
    <xf numFmtId="164" fontId="48" fillId="38" borderId="72" xfId="2" applyNumberFormat="1" applyFont="1" applyFill="1" applyBorder="1" applyAlignment="1">
      <alignment horizontal="center" vertical="center" wrapText="1"/>
    </xf>
    <xf numFmtId="164" fontId="48" fillId="24" borderId="68" xfId="2" applyNumberFormat="1" applyFont="1" applyFill="1" applyBorder="1" applyAlignment="1">
      <alignment horizontal="center" vertical="center" wrapText="1"/>
    </xf>
    <xf numFmtId="164" fontId="48" fillId="29" borderId="31" xfId="2" applyNumberFormat="1" applyFont="1" applyFill="1" applyBorder="1" applyAlignment="1">
      <alignment horizontal="center" vertical="center" wrapText="1"/>
    </xf>
    <xf numFmtId="164" fontId="48" fillId="29" borderId="32" xfId="2" applyNumberFormat="1" applyFont="1" applyFill="1" applyBorder="1" applyAlignment="1">
      <alignment horizontal="center" vertical="center" wrapText="1"/>
    </xf>
    <xf numFmtId="164" fontId="48" fillId="29" borderId="33" xfId="2" applyNumberFormat="1" applyFont="1" applyFill="1" applyBorder="1" applyAlignment="1">
      <alignment horizontal="center" vertical="center" wrapText="1"/>
    </xf>
    <xf numFmtId="164" fontId="48" fillId="39" borderId="68" xfId="2" applyNumberFormat="1" applyFont="1" applyFill="1" applyBorder="1" applyAlignment="1">
      <alignment horizontal="center" vertical="center" wrapText="1"/>
    </xf>
    <xf numFmtId="164" fontId="48" fillId="25" borderId="32" xfId="2" applyNumberFormat="1" applyFont="1" applyFill="1" applyBorder="1" applyAlignment="1">
      <alignment horizontal="center" vertical="center" wrapText="1"/>
    </xf>
    <xf numFmtId="165" fontId="48" fillId="29" borderId="32" xfId="2" applyNumberFormat="1" applyFont="1" applyFill="1" applyBorder="1" applyAlignment="1">
      <alignment horizontal="center" vertical="center" wrapText="1"/>
    </xf>
    <xf numFmtId="0" fontId="49" fillId="0" borderId="0" xfId="0" applyFont="1"/>
    <xf numFmtId="0" fontId="29" fillId="34" borderId="6" xfId="0" applyFont="1" applyFill="1" applyBorder="1" applyAlignment="1">
      <alignment vertical="center"/>
    </xf>
    <xf numFmtId="0" fontId="27" fillId="34" borderId="7" xfId="0" applyFont="1" applyFill="1" applyBorder="1" applyAlignment="1">
      <alignment horizontal="center"/>
    </xf>
    <xf numFmtId="0" fontId="50" fillId="34" borderId="0" xfId="0" applyFont="1" applyFill="1" applyAlignment="1">
      <alignment horizontal="center" vertical="center"/>
    </xf>
    <xf numFmtId="164" fontId="23" fillId="34" borderId="73" xfId="1" applyNumberFormat="1" applyFont="1" applyFill="1" applyBorder="1" applyAlignment="1">
      <alignment horizontal="center" vertical="center"/>
    </xf>
    <xf numFmtId="0" fontId="51" fillId="15" borderId="0" xfId="0" applyFont="1" applyFill="1" applyAlignment="1">
      <alignment vertical="center"/>
    </xf>
    <xf numFmtId="17" fontId="52"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9" fillId="26" borderId="19" xfId="0" applyNumberFormat="1" applyFont="1" applyFill="1" applyBorder="1" applyAlignment="1">
      <alignment horizontal="right" vertical="center"/>
    </xf>
    <xf numFmtId="164" fontId="53" fillId="26" borderId="20" xfId="0" applyNumberFormat="1" applyFont="1" applyFill="1" applyBorder="1" applyAlignment="1">
      <alignment horizontal="center" vertical="center"/>
    </xf>
    <xf numFmtId="17" fontId="39" fillId="0" borderId="20" xfId="0" applyNumberFormat="1" applyFont="1" applyBorder="1" applyAlignment="1">
      <alignment horizontal="center" vertical="center"/>
    </xf>
    <xf numFmtId="164" fontId="53" fillId="26" borderId="32" xfId="0" applyNumberFormat="1" applyFont="1" applyFill="1" applyBorder="1" applyAlignment="1">
      <alignment horizontal="center" vertical="center"/>
    </xf>
    <xf numFmtId="20" fontId="54" fillId="0" borderId="32" xfId="0" applyNumberFormat="1" applyFont="1" applyBorder="1" applyAlignment="1">
      <alignment horizontal="center"/>
    </xf>
    <xf numFmtId="20" fontId="54" fillId="0" borderId="34" xfId="0" applyNumberFormat="1" applyFont="1" applyBorder="1" applyAlignment="1">
      <alignment horizontal="center"/>
    </xf>
    <xf numFmtId="0" fontId="19" fillId="14" borderId="0" xfId="0" applyFont="1" applyFill="1" applyAlignment="1">
      <alignment horizontal="right" vertical="center"/>
    </xf>
    <xf numFmtId="164" fontId="26" fillId="0" borderId="0" xfId="0" applyNumberFormat="1" applyFont="1" applyAlignment="1">
      <alignment horizontal="center"/>
    </xf>
    <xf numFmtId="164" fontId="19" fillId="8" borderId="29" xfId="0" applyNumberFormat="1" applyFont="1" applyFill="1" applyBorder="1" applyAlignment="1">
      <alignment horizontal="center" vertical="center"/>
    </xf>
    <xf numFmtId="9" fontId="55" fillId="11" borderId="18" xfId="1" applyFont="1" applyFill="1" applyBorder="1" applyAlignment="1">
      <alignment horizontal="right" vertical="center"/>
    </xf>
    <xf numFmtId="164" fontId="55" fillId="11" borderId="2" xfId="1" applyNumberFormat="1" applyFont="1" applyFill="1" applyBorder="1" applyAlignment="1">
      <alignment horizontal="center" vertical="center"/>
    </xf>
    <xf numFmtId="9" fontId="55" fillId="0" borderId="0" xfId="1" applyFont="1" applyAlignment="1">
      <alignment horizontal="center"/>
    </xf>
    <xf numFmtId="164" fontId="55" fillId="11" borderId="41" xfId="1" applyNumberFormat="1" applyFont="1" applyFill="1" applyBorder="1" applyAlignment="1">
      <alignment horizontal="center" vertical="center"/>
    </xf>
    <xf numFmtId="164" fontId="11" fillId="3" borderId="41" xfId="0" applyNumberFormat="1" applyFont="1" applyFill="1" applyBorder="1" applyAlignment="1">
      <alignment horizontal="center" vertical="center"/>
    </xf>
    <xf numFmtId="1" fontId="14" fillId="21" borderId="18" xfId="1" applyNumberFormat="1" applyFont="1" applyFill="1" applyBorder="1" applyAlignment="1">
      <alignment horizontal="center" vertical="center"/>
    </xf>
    <xf numFmtId="9" fontId="9" fillId="2" borderId="41" xfId="1" applyFont="1" applyFill="1" applyBorder="1" applyAlignment="1">
      <alignment horizontal="center" vertical="center"/>
    </xf>
    <xf numFmtId="9" fontId="9" fillId="3" borderId="41" xfId="1" applyFont="1" applyFill="1" applyBorder="1" applyAlignment="1">
      <alignment horizontal="center" vertical="center"/>
    </xf>
    <xf numFmtId="1" fontId="17" fillId="0" borderId="41" xfId="0" applyNumberFormat="1" applyFont="1" applyBorder="1" applyAlignment="1">
      <alignment horizontal="center"/>
    </xf>
    <xf numFmtId="164" fontId="19" fillId="8" borderId="41" xfId="0" applyNumberFormat="1" applyFont="1" applyFill="1" applyBorder="1" applyAlignment="1">
      <alignment horizontal="center" vertical="center"/>
    </xf>
    <xf numFmtId="0" fontId="19" fillId="5" borderId="0" xfId="0" applyFont="1" applyFill="1" applyAlignment="1">
      <alignment horizontal="right" vertical="center"/>
    </xf>
    <xf numFmtId="9" fontId="56" fillId="3" borderId="1" xfId="0" applyNumberFormat="1" applyFont="1" applyFill="1" applyBorder="1" applyAlignment="1">
      <alignment horizontal="center" vertical="center"/>
    </xf>
    <xf numFmtId="9" fontId="26" fillId="22" borderId="41" xfId="0" applyNumberFormat="1" applyFont="1" applyFill="1" applyBorder="1" applyAlignment="1">
      <alignment horizontal="center" vertical="center"/>
    </xf>
    <xf numFmtId="0" fontId="45" fillId="0" borderId="0" xfId="0" applyFont="1"/>
    <xf numFmtId="0" fontId="45" fillId="0" borderId="0" xfId="0" applyFont="1" applyAlignment="1">
      <alignment horizontal="left" vertical="top"/>
    </xf>
    <xf numFmtId="9" fontId="14" fillId="21" borderId="18" xfId="1" applyFont="1" applyFill="1" applyBorder="1" applyAlignment="1">
      <alignment horizontal="center" vertical="center"/>
    </xf>
    <xf numFmtId="0" fontId="40" fillId="20" borderId="10" xfId="0" applyFont="1" applyFill="1" applyBorder="1" applyAlignment="1">
      <alignment horizontal="right" vertical="center"/>
    </xf>
    <xf numFmtId="9" fontId="11" fillId="10" borderId="41" xfId="0" applyNumberFormat="1" applyFont="1" applyFill="1" applyBorder="1" applyAlignment="1">
      <alignment horizontal="center" vertical="center"/>
    </xf>
    <xf numFmtId="1" fontId="14" fillId="2" borderId="18" xfId="1" applyNumberFormat="1" applyFont="1" applyFill="1" applyBorder="1" applyAlignment="1">
      <alignment horizontal="center" vertical="center"/>
    </xf>
    <xf numFmtId="1" fontId="14" fillId="0" borderId="18" xfId="1" applyNumberFormat="1" applyFont="1" applyFill="1" applyBorder="1" applyAlignment="1">
      <alignment horizontal="center" vertical="center"/>
    </xf>
    <xf numFmtId="20" fontId="9" fillId="0" borderId="41" xfId="1" applyNumberFormat="1" applyFont="1" applyFill="1" applyBorder="1" applyAlignment="1">
      <alignment horizontal="center" vertical="center"/>
    </xf>
    <xf numFmtId="165" fontId="9" fillId="3" borderId="41" xfId="1" applyNumberFormat="1" applyFont="1" applyFill="1" applyBorder="1" applyAlignment="1">
      <alignment horizontal="center" vertical="center"/>
    </xf>
    <xf numFmtId="9" fontId="9" fillId="0" borderId="41" xfId="1" applyFont="1" applyFill="1" applyBorder="1" applyAlignment="1">
      <alignment horizontal="center" vertical="center"/>
    </xf>
    <xf numFmtId="1" fontId="32" fillId="0" borderId="75" xfId="1" applyNumberFormat="1" applyFont="1" applyFill="1" applyBorder="1" applyAlignment="1">
      <alignment horizontal="center" vertical="center"/>
    </xf>
    <xf numFmtId="0" fontId="19" fillId="26" borderId="76" xfId="0" applyFont="1" applyFill="1" applyBorder="1" applyAlignment="1">
      <alignment vertical="center"/>
    </xf>
    <xf numFmtId="0" fontId="27" fillId="26" borderId="77" xfId="0" applyFont="1" applyFill="1" applyBorder="1" applyAlignment="1">
      <alignment horizontal="center"/>
    </xf>
    <xf numFmtId="164" fontId="23" fillId="26" borderId="78" xfId="1" applyNumberFormat="1" applyFont="1" applyFill="1" applyBorder="1" applyAlignment="1">
      <alignment horizontal="center" vertical="center"/>
    </xf>
    <xf numFmtId="164" fontId="23" fillId="26" borderId="41" xfId="0" applyNumberFormat="1" applyFont="1" applyFill="1" applyBorder="1" applyAlignment="1">
      <alignment horizontal="center" vertical="center"/>
    </xf>
    <xf numFmtId="0" fontId="13" fillId="0" borderId="41" xfId="0" applyFont="1" applyBorder="1" applyAlignment="1">
      <alignment horizontal="center" vertical="center"/>
    </xf>
    <xf numFmtId="17" fontId="20" fillId="0" borderId="41" xfId="0" applyNumberFormat="1" applyFont="1" applyBorder="1" applyAlignment="1">
      <alignment horizontal="left" vertical="center"/>
    </xf>
    <xf numFmtId="17" fontId="20" fillId="0" borderId="41" xfId="0" applyNumberFormat="1" applyFont="1" applyBorder="1" applyAlignment="1">
      <alignment horizontal="center" vertical="center"/>
    </xf>
    <xf numFmtId="17" fontId="12" fillId="0" borderId="41" xfId="0" applyNumberFormat="1" applyFont="1" applyBorder="1" applyAlignment="1">
      <alignment horizontal="center" vertical="center"/>
    </xf>
    <xf numFmtId="164" fontId="20" fillId="0" borderId="41" xfId="0" applyNumberFormat="1" applyFont="1" applyBorder="1" applyAlignment="1">
      <alignment horizontal="center" vertical="center"/>
    </xf>
    <xf numFmtId="0" fontId="31" fillId="0" borderId="41" xfId="0" applyFont="1" applyBorder="1" applyAlignment="1">
      <alignment horizontal="center" vertical="center"/>
    </xf>
    <xf numFmtId="164" fontId="10" fillId="0" borderId="41" xfId="1" applyNumberFormat="1" applyFont="1" applyFill="1" applyBorder="1" applyAlignment="1">
      <alignment horizontal="center" vertical="center"/>
    </xf>
    <xf numFmtId="9" fontId="10" fillId="0" borderId="41" xfId="1" applyFont="1" applyFill="1" applyBorder="1" applyAlignment="1">
      <alignment horizontal="right" vertical="center"/>
    </xf>
    <xf numFmtId="9" fontId="10" fillId="0" borderId="41" xfId="1" applyFont="1" applyFill="1" applyBorder="1" applyAlignment="1">
      <alignment horizontal="center"/>
    </xf>
    <xf numFmtId="0" fontId="11" fillId="0" borderId="41" xfId="0" applyFont="1" applyBorder="1" applyAlignment="1">
      <alignment horizontal="right"/>
    </xf>
    <xf numFmtId="0" fontId="15" fillId="0" borderId="41" xfId="0" applyFont="1" applyBorder="1" applyAlignment="1">
      <alignment horizontal="center" vertical="center"/>
    </xf>
    <xf numFmtId="164" fontId="20"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0" fillId="0" borderId="41" xfId="0" applyFont="1" applyBorder="1"/>
    <xf numFmtId="0" fontId="11" fillId="0" borderId="41" xfId="0" applyFont="1" applyBorder="1" applyAlignment="1">
      <alignment horizontal="center"/>
    </xf>
    <xf numFmtId="9" fontId="11" fillId="0" borderId="41" xfId="0" applyNumberFormat="1" applyFont="1" applyBorder="1" applyAlignment="1">
      <alignment horizontal="center"/>
    </xf>
    <xf numFmtId="0" fontId="41" fillId="32" borderId="41" xfId="0" applyFont="1" applyFill="1" applyBorder="1" applyAlignment="1">
      <alignment horizontal="right"/>
    </xf>
    <xf numFmtId="17" fontId="41" fillId="32" borderId="41" xfId="0" applyNumberFormat="1" applyFont="1" applyFill="1" applyBorder="1" applyAlignment="1">
      <alignment horizontal="right"/>
    </xf>
    <xf numFmtId="164" fontId="34" fillId="26" borderId="2" xfId="1" applyNumberFormat="1" applyFont="1" applyFill="1" applyBorder="1" applyAlignment="1">
      <alignment horizontal="center" vertical="center"/>
    </xf>
    <xf numFmtId="0" fontId="11" fillId="11" borderId="41" xfId="0" applyFont="1" applyFill="1" applyBorder="1"/>
    <xf numFmtId="164" fontId="11" fillId="31" borderId="41" xfId="0" applyNumberFormat="1" applyFont="1" applyFill="1" applyBorder="1" applyAlignment="1">
      <alignment horizontal="center"/>
    </xf>
    <xf numFmtId="164" fontId="48" fillId="25" borderId="33" xfId="2" applyNumberFormat="1" applyFont="1" applyFill="1" applyBorder="1" applyAlignment="1">
      <alignment horizontal="center" vertical="center" wrapText="1"/>
    </xf>
    <xf numFmtId="164" fontId="28" fillId="3" borderId="63" xfId="2" applyNumberFormat="1" applyFont="1" applyFill="1" applyBorder="1" applyAlignment="1">
      <alignment horizontal="center" vertical="center" wrapText="1"/>
    </xf>
    <xf numFmtId="165" fontId="37" fillId="3" borderId="63" xfId="2" applyNumberFormat="1" applyFill="1" applyBorder="1" applyAlignment="1">
      <alignment horizontal="center" vertical="center" wrapText="1"/>
    </xf>
    <xf numFmtId="164" fontId="37" fillId="3" borderId="63" xfId="2" applyNumberFormat="1" applyFill="1" applyBorder="1" applyAlignment="1">
      <alignment horizontal="center" vertical="center" wrapText="1"/>
    </xf>
    <xf numFmtId="164" fontId="48"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8" fillId="25" borderId="90" xfId="1" applyNumberFormat="1" applyFont="1" applyFill="1" applyBorder="1" applyAlignment="1">
      <alignment horizontal="center" vertical="center" wrapText="1"/>
    </xf>
    <xf numFmtId="164" fontId="11" fillId="0" borderId="41" xfId="0" applyNumberFormat="1" applyFont="1" applyBorder="1"/>
    <xf numFmtId="0" fontId="9" fillId="0" borderId="41" xfId="0" applyFont="1" applyBorder="1" applyAlignment="1">
      <alignment horizontal="center" vertical="center"/>
    </xf>
    <xf numFmtId="17" fontId="9" fillId="0" borderId="41" xfId="0" applyNumberFormat="1" applyFont="1" applyBorder="1" applyAlignment="1">
      <alignment horizontal="center" vertical="center"/>
    </xf>
    <xf numFmtId="9" fontId="10" fillId="3" borderId="41" xfId="1" applyFont="1" applyFill="1" applyBorder="1" applyAlignment="1">
      <alignment horizontal="center"/>
    </xf>
    <xf numFmtId="165" fontId="8"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1" fillId="11" borderId="41" xfId="0" applyNumberFormat="1" applyFont="1" applyFill="1" applyBorder="1" applyAlignment="1">
      <alignment horizontal="center"/>
    </xf>
    <xf numFmtId="166" fontId="38" fillId="2" borderId="0" xfId="2" applyNumberFormat="1" applyFont="1" applyFill="1" applyAlignment="1">
      <alignment horizontal="center" wrapText="1"/>
    </xf>
    <xf numFmtId="166" fontId="30"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7" fillId="3" borderId="29" xfId="2" applyNumberFormat="1" applyFill="1" applyBorder="1" applyAlignment="1">
      <alignment horizontal="center" vertical="center" wrapText="1"/>
    </xf>
    <xf numFmtId="166" fontId="37" fillId="0" borderId="29" xfId="2" applyNumberFormat="1" applyBorder="1" applyAlignment="1">
      <alignment horizontal="center" vertical="center" wrapText="1"/>
    </xf>
    <xf numFmtId="166" fontId="37" fillId="3" borderId="63" xfId="2" applyNumberFormat="1" applyFill="1" applyBorder="1" applyAlignment="1">
      <alignment horizontal="center" vertical="center" wrapText="1"/>
    </xf>
    <xf numFmtId="166" fontId="48" fillId="29" borderId="34" xfId="2" applyNumberFormat="1" applyFont="1" applyFill="1" applyBorder="1" applyAlignment="1">
      <alignment horizontal="center" vertical="center" wrapText="1"/>
    </xf>
    <xf numFmtId="166" fontId="37" fillId="0" borderId="0" xfId="2" applyNumberFormat="1" applyAlignment="1">
      <alignment horizontal="center" wrapText="1"/>
    </xf>
    <xf numFmtId="166" fontId="34" fillId="25" borderId="56" xfId="1" applyNumberFormat="1" applyFont="1" applyFill="1" applyBorder="1" applyAlignment="1">
      <alignment horizontal="center" vertical="center" wrapText="1"/>
    </xf>
    <xf numFmtId="166" fontId="26" fillId="29" borderId="92" xfId="1" applyNumberFormat="1" applyFont="1" applyFill="1" applyBorder="1" applyAlignment="1">
      <alignment horizontal="center" vertical="center"/>
    </xf>
    <xf numFmtId="45" fontId="9" fillId="0" borderId="2" xfId="1" applyNumberFormat="1" applyFont="1" applyFill="1" applyBorder="1" applyAlignment="1">
      <alignment horizontal="center" vertical="center"/>
    </xf>
    <xf numFmtId="164" fontId="11"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8" fillId="2" borderId="2" xfId="1" applyNumberFormat="1" applyFont="1" applyFill="1" applyBorder="1" applyAlignment="1">
      <alignment horizontal="center" vertical="center"/>
    </xf>
    <xf numFmtId="0" fontId="8"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64" fontId="50" fillId="34" borderId="73" xfId="1" applyNumberFormat="1" applyFont="1" applyFill="1" applyBorder="1" applyAlignment="1">
      <alignment horizontal="center" vertical="center"/>
    </xf>
    <xf numFmtId="9" fontId="9" fillId="0" borderId="2" xfId="1" applyFont="1" applyFill="1" applyBorder="1" applyAlignment="1">
      <alignment horizontal="center" vertical="center"/>
    </xf>
    <xf numFmtId="45" fontId="10" fillId="0" borderId="2" xfId="1" applyNumberFormat="1" applyFont="1" applyFill="1" applyBorder="1" applyAlignment="1">
      <alignment horizontal="center" vertical="center"/>
    </xf>
    <xf numFmtId="45" fontId="8" fillId="0" borderId="2" xfId="1" applyNumberFormat="1" applyFont="1" applyFill="1" applyBorder="1" applyAlignment="1">
      <alignment horizontal="center" vertical="center"/>
    </xf>
    <xf numFmtId="49" fontId="0" fillId="3" borderId="8" xfId="1" quotePrefix="1" applyNumberFormat="1" applyFont="1" applyFill="1" applyBorder="1" applyAlignment="1">
      <alignment horizontal="right" vertical="center"/>
    </xf>
    <xf numFmtId="9" fontId="7" fillId="2" borderId="2" xfId="1" applyFont="1" applyFill="1" applyBorder="1" applyAlignment="1">
      <alignment horizontal="center" vertical="center"/>
    </xf>
    <xf numFmtId="9" fontId="7" fillId="11" borderId="2" xfId="1" applyFont="1" applyFill="1" applyBorder="1" applyAlignment="1">
      <alignment horizontal="center" vertical="center"/>
    </xf>
    <xf numFmtId="9" fontId="6"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45" fontId="4" fillId="2" borderId="2" xfId="1" applyNumberFormat="1" applyFont="1" applyFill="1" applyBorder="1" applyAlignment="1">
      <alignment horizontal="center" vertical="center"/>
    </xf>
    <xf numFmtId="0"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0" borderId="2" xfId="1" applyNumberFormat="1" applyFont="1" applyFill="1" applyBorder="1" applyAlignment="1">
      <alignment horizontal="center" vertical="center"/>
    </xf>
    <xf numFmtId="0"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29" fillId="35" borderId="21" xfId="2" applyFont="1" applyFill="1" applyBorder="1" applyAlignment="1">
      <alignment horizontal="center" vertical="center" wrapText="1"/>
    </xf>
    <xf numFmtId="0" fontId="29" fillId="35" borderId="22" xfId="2" applyFont="1" applyFill="1" applyBorder="1" applyAlignment="1">
      <alignment horizontal="center" vertical="center" wrapText="1"/>
    </xf>
    <xf numFmtId="0" fontId="29" fillId="35" borderId="49" xfId="2" applyFont="1" applyFill="1" applyBorder="1" applyAlignment="1">
      <alignment horizontal="center" vertical="center" wrapText="1"/>
    </xf>
    <xf numFmtId="0" fontId="29" fillId="35" borderId="39" xfId="2" applyFont="1" applyFill="1" applyBorder="1" applyAlignment="1">
      <alignment horizontal="center" vertical="center" wrapText="1"/>
    </xf>
    <xf numFmtId="49" fontId="29" fillId="25" borderId="43" xfId="2" applyNumberFormat="1" applyFont="1" applyFill="1" applyBorder="1" applyAlignment="1">
      <alignment horizontal="center" vertical="center" wrapText="1"/>
    </xf>
    <xf numFmtId="49" fontId="29" fillId="25" borderId="44" xfId="2" applyNumberFormat="1" applyFont="1" applyFill="1" applyBorder="1" applyAlignment="1">
      <alignment horizontal="center" vertical="center" wrapText="1"/>
    </xf>
    <xf numFmtId="49" fontId="29" fillId="25" borderId="45" xfId="2" applyNumberFormat="1" applyFont="1" applyFill="1" applyBorder="1" applyAlignment="1">
      <alignment horizontal="center" vertical="center" wrapText="1"/>
    </xf>
    <xf numFmtId="49" fontId="29" fillId="25" borderId="51" xfId="2" applyNumberFormat="1" applyFont="1" applyFill="1" applyBorder="1" applyAlignment="1">
      <alignment horizontal="center" vertical="center" wrapText="1"/>
    </xf>
    <xf numFmtId="49" fontId="29" fillId="25" borderId="52" xfId="2" applyNumberFormat="1" applyFont="1" applyFill="1" applyBorder="1" applyAlignment="1">
      <alignment horizontal="center" vertical="center" wrapText="1"/>
    </xf>
    <xf numFmtId="49" fontId="29" fillId="25" borderId="53" xfId="2" applyNumberFormat="1" applyFont="1" applyFill="1" applyBorder="1" applyAlignment="1">
      <alignment horizontal="center" vertical="center" wrapText="1"/>
    </xf>
    <xf numFmtId="0" fontId="42" fillId="28" borderId="87" xfId="2" applyFont="1" applyFill="1" applyBorder="1" applyAlignment="1">
      <alignment horizontal="center" vertical="center"/>
    </xf>
    <xf numFmtId="0" fontId="42" fillId="28" borderId="88" xfId="2" applyFont="1" applyFill="1" applyBorder="1" applyAlignment="1">
      <alignment horizontal="center" vertical="center"/>
    </xf>
    <xf numFmtId="0" fontId="42" fillId="28" borderId="89" xfId="2" applyFont="1" applyFill="1" applyBorder="1" applyAlignment="1">
      <alignment horizontal="center" vertical="center"/>
    </xf>
    <xf numFmtId="49" fontId="29" fillId="34" borderId="86" xfId="2" applyNumberFormat="1" applyFont="1" applyFill="1" applyBorder="1" applyAlignment="1">
      <alignment horizontal="left" vertical="center" wrapText="1" indent="1"/>
    </xf>
    <xf numFmtId="49" fontId="29" fillId="34" borderId="21" xfId="2" applyNumberFormat="1" applyFont="1" applyFill="1" applyBorder="1" applyAlignment="1">
      <alignment horizontal="left" vertical="center" wrapText="1" indent="1"/>
    </xf>
    <xf numFmtId="49" fontId="29" fillId="34" borderId="22" xfId="2" applyNumberFormat="1" applyFont="1" applyFill="1" applyBorder="1" applyAlignment="1">
      <alignment horizontal="left" vertical="center" wrapText="1" indent="1"/>
    </xf>
    <xf numFmtId="0" fontId="40" fillId="36" borderId="46" xfId="2" applyFont="1" applyFill="1" applyBorder="1" applyAlignment="1">
      <alignment horizontal="center" vertical="center" wrapText="1"/>
    </xf>
    <xf numFmtId="0" fontId="40" fillId="36" borderId="47" xfId="2" applyFont="1" applyFill="1" applyBorder="1" applyAlignment="1">
      <alignment horizontal="center" vertical="center" wrapText="1"/>
    </xf>
    <xf numFmtId="0" fontId="40" fillId="36" borderId="48" xfId="2" applyFont="1" applyFill="1" applyBorder="1" applyAlignment="1">
      <alignment horizontal="center" vertical="center" wrapText="1"/>
    </xf>
    <xf numFmtId="0" fontId="40" fillId="37" borderId="46" xfId="2" applyFont="1" applyFill="1" applyBorder="1" applyAlignment="1">
      <alignment horizontal="center" vertical="center" wrapText="1"/>
    </xf>
    <xf numFmtId="0" fontId="40" fillId="37" borderId="47" xfId="2" applyFont="1" applyFill="1" applyBorder="1" applyAlignment="1">
      <alignment horizontal="center" vertical="center" wrapText="1"/>
    </xf>
    <xf numFmtId="0" fontId="40" fillId="37" borderId="48" xfId="2" applyFont="1" applyFill="1" applyBorder="1" applyAlignment="1">
      <alignment horizontal="center" vertical="center" wrapText="1"/>
    </xf>
    <xf numFmtId="0" fontId="40" fillId="38" borderId="46" xfId="2" applyFont="1" applyFill="1" applyBorder="1" applyAlignment="1">
      <alignment horizontal="center" vertical="center" wrapText="1"/>
    </xf>
    <xf numFmtId="0" fontId="40" fillId="38" borderId="47" xfId="2" applyFont="1" applyFill="1" applyBorder="1" applyAlignment="1">
      <alignment horizontal="center" vertical="center" wrapText="1"/>
    </xf>
    <xf numFmtId="0" fontId="40" fillId="38" borderId="48" xfId="2" applyFont="1" applyFill="1" applyBorder="1" applyAlignment="1">
      <alignment horizontal="center" vertical="center" wrapText="1"/>
    </xf>
    <xf numFmtId="0" fontId="40" fillId="24" borderId="85" xfId="2" applyFont="1" applyFill="1" applyBorder="1" applyAlignment="1">
      <alignment horizontal="center" vertical="center" wrapText="1"/>
    </xf>
    <xf numFmtId="0" fontId="40" fillId="24" borderId="83" xfId="2" applyFont="1" applyFill="1" applyBorder="1" applyAlignment="1">
      <alignment horizontal="center" vertical="center" wrapText="1"/>
    </xf>
    <xf numFmtId="0" fontId="40" fillId="24" borderId="84" xfId="2" applyFont="1" applyFill="1" applyBorder="1" applyAlignment="1">
      <alignment horizontal="center" vertical="center" wrapText="1"/>
    </xf>
    <xf numFmtId="0" fontId="40" fillId="39" borderId="82" xfId="2" applyFont="1" applyFill="1" applyBorder="1" applyAlignment="1">
      <alignment horizontal="center" vertical="center" wrapText="1"/>
    </xf>
    <xf numFmtId="0" fontId="40" fillId="39" borderId="83" xfId="2" applyFont="1" applyFill="1" applyBorder="1" applyAlignment="1">
      <alignment horizontal="center" vertical="center" wrapText="1"/>
    </xf>
    <xf numFmtId="0" fontId="40" fillId="39" borderId="84" xfId="2" applyFont="1" applyFill="1" applyBorder="1" applyAlignment="1">
      <alignment horizontal="center" vertical="center" wrapText="1"/>
    </xf>
    <xf numFmtId="9" fontId="44" fillId="30" borderId="79" xfId="0" applyNumberFormat="1" applyFont="1" applyFill="1" applyBorder="1" applyAlignment="1">
      <alignment horizontal="center" vertical="center" wrapText="1"/>
    </xf>
    <xf numFmtId="9" fontId="44" fillId="30" borderId="80" xfId="0" applyNumberFormat="1" applyFont="1" applyFill="1" applyBorder="1" applyAlignment="1">
      <alignment horizontal="center" vertical="center" wrapText="1"/>
    </xf>
    <xf numFmtId="9" fontId="44" fillId="30" borderId="81" xfId="0" applyNumberFormat="1" applyFont="1" applyFill="1" applyBorder="1" applyAlignment="1">
      <alignment horizontal="center" vertical="center" wrapText="1"/>
    </xf>
    <xf numFmtId="9" fontId="29" fillId="33" borderId="36" xfId="0" applyNumberFormat="1" applyFont="1" applyFill="1" applyBorder="1" applyAlignment="1">
      <alignment horizontal="center" vertical="center" wrapText="1"/>
    </xf>
    <xf numFmtId="9" fontId="29" fillId="33" borderId="35" xfId="0" applyNumberFormat="1" applyFont="1" applyFill="1" applyBorder="1" applyAlignment="1">
      <alignment horizontal="center" vertical="center" wrapText="1"/>
    </xf>
    <xf numFmtId="9" fontId="29"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8" fillId="20" borderId="10" xfId="0" applyFont="1" applyFill="1" applyBorder="1" applyAlignment="1">
      <alignment horizontal="right" vertical="center"/>
    </xf>
    <xf numFmtId="0" fontId="28" fillId="20" borderId="11" xfId="0" applyFont="1" applyFill="1" applyBorder="1" applyAlignment="1">
      <alignment horizontal="right" vertical="center"/>
    </xf>
    <xf numFmtId="0" fontId="28" fillId="19" borderId="0" xfId="0" applyFont="1" applyFill="1" applyAlignment="1">
      <alignment horizontal="center" vertical="center"/>
    </xf>
    <xf numFmtId="0" fontId="28"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OUNCILS/ACCESS/COUNCILS%20ACCESS%2004%20APR%202026.xlsx" TargetMode="External"/><Relationship Id="rId1" Type="http://schemas.openxmlformats.org/officeDocument/2006/relationships/externalLinkPath" Target="/Users/simonblair/Library/CloudStorage/Dropbox/ACXPA%20Quality%20Insights/REPORTS/2026/COUNCILS/ACCESS/COUNCILS%20ACCESS%2004%20AP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RISBANE"/>
      <sheetName val="CASEY"/>
      <sheetName val="FRANKSTON"/>
      <sheetName val="LAUNCESTON"/>
      <sheetName val="MONASH"/>
      <sheetName val="ONKAPARINGA"/>
      <sheetName val="STIRLING"/>
    </sheetNames>
    <sheetDataSet>
      <sheetData sheetId="0"/>
      <sheetData sheetId="1"/>
      <sheetData sheetId="2">
        <row r="4">
          <cell r="D4">
            <v>0.79791666666666661</v>
          </cell>
          <cell r="E4">
            <v>0.16293650793650796</v>
          </cell>
          <cell r="F4">
            <v>0.66652777777777772</v>
          </cell>
          <cell r="G4">
            <v>0.39291666666666664</v>
          </cell>
          <cell r="H4">
            <v>0.86666666666666659</v>
          </cell>
          <cell r="I4">
            <v>0.75624999999999998</v>
          </cell>
          <cell r="J4">
            <v>0.77291666666666659</v>
          </cell>
        </row>
        <row r="70">
          <cell r="B70">
            <v>2.2277336860670196E-3</v>
          </cell>
          <cell r="D70">
            <v>5.4398148148148155E-4</v>
          </cell>
          <cell r="E70">
            <v>5.420524691358025E-3</v>
          </cell>
          <cell r="F70">
            <v>3.7654320987654324E-3</v>
          </cell>
          <cell r="G70">
            <v>1.6319444444444443E-3</v>
          </cell>
          <cell r="H70">
            <v>6.4429012345679009E-4</v>
          </cell>
          <cell r="I70">
            <v>2.6504629629629634E-3</v>
          </cell>
          <cell r="J70">
            <v>9.3749999999999997E-4</v>
          </cell>
        </row>
      </sheetData>
      <sheetData sheetId="3">
        <row r="4">
          <cell r="D4">
            <v>0.81874999999999998</v>
          </cell>
          <cell r="E4">
            <v>0.81874999999999998</v>
          </cell>
          <cell r="F4">
            <v>0.75624999999999998</v>
          </cell>
        </row>
      </sheetData>
      <sheetData sheetId="4">
        <row r="4">
          <cell r="D4">
            <v>0.25916666666666671</v>
          </cell>
          <cell r="E4">
            <v>0.22964285714285715</v>
          </cell>
          <cell r="F4">
            <v>0</v>
          </cell>
        </row>
      </sheetData>
      <sheetData sheetId="5">
        <row r="4">
          <cell r="D4">
            <v>0.83875</v>
          </cell>
          <cell r="E4">
            <v>0.58041666666666669</v>
          </cell>
          <cell r="F4">
            <v>0.58041666666666669</v>
          </cell>
        </row>
      </sheetData>
      <sheetData sheetId="6">
        <row r="4">
          <cell r="D4">
            <v>0</v>
          </cell>
          <cell r="E4">
            <v>0.44</v>
          </cell>
          <cell r="F4">
            <v>0.73875000000000002</v>
          </cell>
        </row>
      </sheetData>
      <sheetData sheetId="7">
        <row r="4">
          <cell r="D4">
            <v>0.88749999999999996</v>
          </cell>
          <cell r="E4">
            <v>0.88749999999999996</v>
          </cell>
          <cell r="F4">
            <v>0.82499999999999996</v>
          </cell>
        </row>
      </sheetData>
      <sheetData sheetId="8">
        <row r="4">
          <cell r="D4">
            <v>0.75624999999999998</v>
          </cell>
          <cell r="E4">
            <v>0.75624999999999998</v>
          </cell>
          <cell r="F4">
            <v>0.75624999999999998</v>
          </cell>
        </row>
      </sheetData>
      <sheetData sheetId="9">
        <row r="4">
          <cell r="D4">
            <v>0.8354166666666667</v>
          </cell>
          <cell r="E4">
            <v>0.75208333333333333</v>
          </cell>
          <cell r="F4">
            <v>0.73124999999999996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V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21" t="s">
        <v>89</v>
      </c>
      <c r="B2" s="342" t="s">
        <v>87</v>
      </c>
      <c r="C2" s="345" t="s">
        <v>88</v>
      </c>
      <c r="D2" s="324" t="s">
        <v>122</v>
      </c>
      <c r="E2" s="325"/>
      <c r="F2" s="325"/>
      <c r="G2" s="325"/>
      <c r="H2" s="325"/>
      <c r="I2" s="325"/>
      <c r="J2" s="325"/>
      <c r="K2" s="325"/>
      <c r="L2" s="325"/>
      <c r="M2" s="325"/>
      <c r="N2" s="325"/>
      <c r="O2" s="325"/>
      <c r="P2" s="325"/>
      <c r="Q2" s="325"/>
      <c r="R2" s="325"/>
      <c r="S2" s="325"/>
      <c r="T2" s="325"/>
      <c r="U2" s="325"/>
      <c r="V2" s="325"/>
      <c r="W2" s="325"/>
      <c r="X2" s="325"/>
      <c r="Y2" s="325"/>
      <c r="Z2" s="326"/>
      <c r="AA2" s="66"/>
      <c r="AB2" s="311" t="s">
        <v>51</v>
      </c>
      <c r="AC2" s="311"/>
      <c r="AD2" s="312"/>
      <c r="AE2" s="119"/>
      <c r="AF2" s="315"/>
      <c r="AG2" s="316"/>
      <c r="AH2" s="316"/>
      <c r="AI2" s="316"/>
      <c r="AJ2" s="316"/>
      <c r="AK2" s="316"/>
      <c r="AL2" s="317"/>
      <c r="AM2" s="310"/>
    </row>
    <row r="3" spans="1:39" ht="27" customHeight="1" thickBot="1" x14ac:dyDescent="0.25">
      <c r="A3" s="322"/>
      <c r="B3" s="343"/>
      <c r="C3" s="346"/>
      <c r="D3" s="327" t="s">
        <v>9</v>
      </c>
      <c r="E3" s="328"/>
      <c r="F3" s="328"/>
      <c r="G3" s="328"/>
      <c r="H3" s="329"/>
      <c r="I3" s="330" t="s">
        <v>10</v>
      </c>
      <c r="J3" s="331"/>
      <c r="K3" s="331"/>
      <c r="L3" s="332"/>
      <c r="M3" s="333" t="s">
        <v>11</v>
      </c>
      <c r="N3" s="334"/>
      <c r="O3" s="334"/>
      <c r="P3" s="334"/>
      <c r="Q3" s="335"/>
      <c r="R3" s="336" t="s">
        <v>12</v>
      </c>
      <c r="S3" s="337"/>
      <c r="T3" s="337"/>
      <c r="U3" s="338"/>
      <c r="V3" s="339" t="s">
        <v>120</v>
      </c>
      <c r="W3" s="340"/>
      <c r="X3" s="340"/>
      <c r="Y3" s="340"/>
      <c r="Z3" s="341"/>
      <c r="AA3" s="67"/>
      <c r="AB3" s="313"/>
      <c r="AC3" s="313"/>
      <c r="AD3" s="314"/>
      <c r="AE3" s="120"/>
      <c r="AF3" s="318"/>
      <c r="AG3" s="319"/>
      <c r="AH3" s="319"/>
      <c r="AI3" s="319"/>
      <c r="AJ3" s="319"/>
      <c r="AK3" s="319"/>
      <c r="AL3" s="320"/>
      <c r="AM3" s="310"/>
    </row>
    <row r="4" spans="1:39" ht="45" customHeight="1" thickBot="1" x14ac:dyDescent="0.25">
      <c r="A4" s="323"/>
      <c r="B4" s="344"/>
      <c r="C4" s="347"/>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BRISBANE CITY</v>
      </c>
      <c r="B5" s="140">
        <f>OVERALL!D3</f>
        <v>0.67784722222222216</v>
      </c>
      <c r="C5" s="141">
        <f>OVERALL!D$4</f>
        <v>0.62638888888888888</v>
      </c>
      <c r="D5" s="142">
        <f>OVERALL!D$6</f>
        <v>0.16666666666666666</v>
      </c>
      <c r="E5" s="70">
        <f>OVERALL!D$7</f>
        <v>0</v>
      </c>
      <c r="F5" s="71">
        <f>OVERALL!D$8</f>
        <v>0.33333333333333331</v>
      </c>
      <c r="G5" s="81">
        <f>OVERALL!D$9</f>
        <v>0.33333333333333331</v>
      </c>
      <c r="H5" s="83">
        <f>OVERALL!D$10</f>
        <v>0</v>
      </c>
      <c r="I5" s="143">
        <f>OVERALL!D$12</f>
        <v>0.77777777777777768</v>
      </c>
      <c r="J5" s="81">
        <f>OVERALL!D$13</f>
        <v>0.33333333333333331</v>
      </c>
      <c r="K5" s="82">
        <f>OVERALL!D$14</f>
        <v>1</v>
      </c>
      <c r="L5" s="144">
        <f>OVERALL!D$15</f>
        <v>1</v>
      </c>
      <c r="M5" s="145">
        <f>OVERALL!D$17</f>
        <v>0.75</v>
      </c>
      <c r="N5" s="81">
        <f>OVERALL!D$18</f>
        <v>1</v>
      </c>
      <c r="O5" s="82">
        <f>OVERALL!D$19</f>
        <v>0</v>
      </c>
      <c r="P5" s="82">
        <f>OVERALL!D$20</f>
        <v>1</v>
      </c>
      <c r="Q5" s="144">
        <f>OVERALL!D$21</f>
        <v>1</v>
      </c>
      <c r="R5" s="146">
        <f>OVERALL!D$23</f>
        <v>0.33333333333333331</v>
      </c>
      <c r="S5" s="147">
        <f>OVERALL!D$24</f>
        <v>0</v>
      </c>
      <c r="T5" s="83">
        <f>OVERALL!D$25</f>
        <v>0</v>
      </c>
      <c r="U5" s="83">
        <f>OVERALL!D$26</f>
        <v>1</v>
      </c>
      <c r="V5" s="148">
        <f>OVERALL!D$28</f>
        <v>1</v>
      </c>
      <c r="W5" s="147">
        <f>OVERALL!D$29</f>
        <v>1</v>
      </c>
      <c r="X5" s="83">
        <f>OVERALL!D$30</f>
        <v>1</v>
      </c>
      <c r="Y5" s="83">
        <f>OVERALL!D$31</f>
        <v>1</v>
      </c>
      <c r="Z5" s="83">
        <f>OVERALL!D$32</f>
        <v>1</v>
      </c>
      <c r="AA5" s="72"/>
      <c r="AB5" s="82">
        <f>OVERALL!D$34</f>
        <v>0</v>
      </c>
      <c r="AC5" s="82">
        <f>OVERALL!$D$35</f>
        <v>0</v>
      </c>
      <c r="AD5" s="82">
        <f>OVERALL!$D$36</f>
        <v>0</v>
      </c>
      <c r="AE5" s="73"/>
      <c r="AF5" s="84">
        <f>OVERALL!D$39</f>
        <v>1</v>
      </c>
      <c r="AG5" s="271">
        <f>OVERALL!D$40</f>
        <v>3.4182098765432102E-3</v>
      </c>
      <c r="AH5" s="85">
        <f>OVERALL!D$41</f>
        <v>6</v>
      </c>
      <c r="AI5" s="82">
        <f>OVERALL!D$42</f>
        <v>1</v>
      </c>
      <c r="AJ5" s="82">
        <f>OVERALL!D$43</f>
        <v>0.66666666666666663</v>
      </c>
      <c r="AK5" s="82">
        <f>OVERALL!D$44</f>
        <v>1</v>
      </c>
      <c r="AL5" s="82">
        <f>OVERALL!D$45</f>
        <v>0.66666666666666663</v>
      </c>
      <c r="AM5" s="271">
        <f>OVERALL!D71</f>
        <v>3.9621913580246918E-3</v>
      </c>
    </row>
    <row r="6" spans="1:39" ht="24" x14ac:dyDescent="0.2">
      <c r="A6" s="116" t="str">
        <f>OVERALL!E$1</f>
        <v>CITY OF CASEY</v>
      </c>
      <c r="B6" s="140">
        <f>OVERALL!E3</f>
        <v>0.34992261904761912</v>
      </c>
      <c r="C6" s="149">
        <f>OVERALL!E$4</f>
        <v>0.57291666666666674</v>
      </c>
      <c r="D6" s="142">
        <f>OVERALL!E$6</f>
        <v>0.375</v>
      </c>
      <c r="E6" s="150">
        <f>OVERALL!E$7</f>
        <v>1</v>
      </c>
      <c r="F6" s="151">
        <f>OVERALL!E$8</f>
        <v>0.5</v>
      </c>
      <c r="G6" s="152">
        <f>OVERALL!E$9</f>
        <v>0</v>
      </c>
      <c r="H6" s="153">
        <f>OVERALL!E$10</f>
        <v>0</v>
      </c>
      <c r="I6" s="143">
        <f>OVERALL!E$12</f>
        <v>0.33333333333333331</v>
      </c>
      <c r="J6" s="152">
        <f>OVERALL!E$13</f>
        <v>0</v>
      </c>
      <c r="K6" s="154">
        <f>OVERALL!E$14</f>
        <v>1</v>
      </c>
      <c r="L6" s="155">
        <f>OVERALL!E$15</f>
        <v>0</v>
      </c>
      <c r="M6" s="145">
        <f>OVERALL!E$17</f>
        <v>0.625</v>
      </c>
      <c r="N6" s="152">
        <f>OVERALL!E$18</f>
        <v>0.5</v>
      </c>
      <c r="O6" s="154">
        <f>OVERALL!E$19</f>
        <v>0</v>
      </c>
      <c r="P6" s="154">
        <f>OVERALL!E$20</f>
        <v>1</v>
      </c>
      <c r="Q6" s="155">
        <f>OVERALL!E$21</f>
        <v>1</v>
      </c>
      <c r="R6" s="146">
        <f>OVERALL!E$23</f>
        <v>0.5</v>
      </c>
      <c r="S6" s="156">
        <f>OVERALL!E$24</f>
        <v>0.5</v>
      </c>
      <c r="T6" s="153">
        <f>OVERALL!E$25</f>
        <v>0</v>
      </c>
      <c r="U6" s="153">
        <f>OVERALL!E$26</f>
        <v>1</v>
      </c>
      <c r="V6" s="148">
        <f>OVERALL!E$28</f>
        <v>1</v>
      </c>
      <c r="W6" s="156">
        <f>OVERALL!E$29</f>
        <v>1</v>
      </c>
      <c r="X6" s="153">
        <f>OVERALL!E$30</f>
        <v>1</v>
      </c>
      <c r="Y6" s="153">
        <f>OVERALL!E$31</f>
        <v>1</v>
      </c>
      <c r="Z6" s="153">
        <f>OVERALL!E$32</f>
        <v>1</v>
      </c>
      <c r="AA6" s="72"/>
      <c r="AB6" s="154">
        <f>OVERALL!E$34</f>
        <v>0</v>
      </c>
      <c r="AC6" s="154">
        <f>OVERALL!$J$35</f>
        <v>0</v>
      </c>
      <c r="AD6" s="154">
        <f>OVERALL!$J$36</f>
        <v>0</v>
      </c>
      <c r="AE6" s="73"/>
      <c r="AF6" s="157">
        <f>OVERALL!E$39</f>
        <v>0.66666666666666663</v>
      </c>
      <c r="AG6" s="272">
        <f>OVERALL!E$40</f>
        <v>1.3368055555555555E-3</v>
      </c>
      <c r="AH6" s="158">
        <f>OVERALL!E$41</f>
        <v>5</v>
      </c>
      <c r="AI6" s="154">
        <f>OVERALL!E$42</f>
        <v>0.5</v>
      </c>
      <c r="AJ6" s="154">
        <f>OVERALL!E$43</f>
        <v>0</v>
      </c>
      <c r="AK6" s="154">
        <f>OVERALL!E$44</f>
        <v>0.5</v>
      </c>
      <c r="AL6" s="154">
        <f>OVERALL!E$45</f>
        <v>1</v>
      </c>
      <c r="AM6" s="272">
        <f>OVERALL!E71</f>
        <v>6.7573302469135805E-3</v>
      </c>
    </row>
    <row r="7" spans="1:39" ht="24" x14ac:dyDescent="0.2">
      <c r="A7" s="116" t="str">
        <f>OVERALL!F$1</f>
        <v>FRANKSTON CITY</v>
      </c>
      <c r="B7" s="140">
        <f>OVERALL!F3</f>
        <v>0.56843055555555555</v>
      </c>
      <c r="C7" s="141">
        <f>OVERALL!F$4</f>
        <v>0.52638888888888891</v>
      </c>
      <c r="D7" s="142">
        <f>OVERALL!F$6</f>
        <v>0.25</v>
      </c>
      <c r="E7" s="70">
        <f>OVERALL!F$7</f>
        <v>1</v>
      </c>
      <c r="F7" s="71">
        <f>OVERALL!F$8</f>
        <v>0</v>
      </c>
      <c r="G7" s="81">
        <f>OVERALL!F$9</f>
        <v>0</v>
      </c>
      <c r="H7" s="83">
        <f>OVERALL!F$10</f>
        <v>0</v>
      </c>
      <c r="I7" s="143">
        <f>OVERALL!F$12</f>
        <v>0.44444444444444442</v>
      </c>
      <c r="J7" s="81">
        <f>OVERALL!F$13</f>
        <v>0</v>
      </c>
      <c r="K7" s="82">
        <f>OVERALL!F$14</f>
        <v>1</v>
      </c>
      <c r="L7" s="144">
        <f>OVERALL!F$15</f>
        <v>0.33333333333333331</v>
      </c>
      <c r="M7" s="145">
        <f>OVERALL!F$17</f>
        <v>0.75</v>
      </c>
      <c r="N7" s="81">
        <f>OVERALL!F$18</f>
        <v>1</v>
      </c>
      <c r="O7" s="82">
        <f>OVERALL!F$19</f>
        <v>0</v>
      </c>
      <c r="P7" s="82">
        <f>OVERALL!F$20</f>
        <v>1</v>
      </c>
      <c r="Q7" s="144">
        <f>OVERALL!F$21</f>
        <v>1</v>
      </c>
      <c r="R7" s="146">
        <f>OVERALL!F$23</f>
        <v>0.33333333333333331</v>
      </c>
      <c r="S7" s="147">
        <f>OVERALL!F$24</f>
        <v>0</v>
      </c>
      <c r="T7" s="83">
        <f>OVERALL!F$25</f>
        <v>0</v>
      </c>
      <c r="U7" s="83">
        <f>OVERALL!F$26</f>
        <v>1</v>
      </c>
      <c r="V7" s="148">
        <f>OVERALL!F$28</f>
        <v>0.91666666666666663</v>
      </c>
      <c r="W7" s="147">
        <f>OVERALL!F$29</f>
        <v>1</v>
      </c>
      <c r="X7" s="83">
        <f>OVERALL!F$30</f>
        <v>1</v>
      </c>
      <c r="Y7" s="83">
        <f>OVERALL!F$31</f>
        <v>0.66666666666666663</v>
      </c>
      <c r="Z7" s="83">
        <f>OVERALL!F$32</f>
        <v>1</v>
      </c>
      <c r="AA7" s="72"/>
      <c r="AB7" s="82">
        <f>OVERALL!F$34</f>
        <v>0.33333333333333331</v>
      </c>
      <c r="AC7" s="82">
        <f>OVERALL!$E$35</f>
        <v>0</v>
      </c>
      <c r="AD7" s="82">
        <f>OVERALL!$E$36</f>
        <v>0</v>
      </c>
      <c r="AE7" s="73"/>
      <c r="AF7" s="84">
        <f>OVERALL!F$39</f>
        <v>1</v>
      </c>
      <c r="AG7" s="271">
        <f>OVERALL!F$40</f>
        <v>2.0023148148148148E-3</v>
      </c>
      <c r="AH7" s="85">
        <f>OVERALL!F$41</f>
        <v>5</v>
      </c>
      <c r="AI7" s="82">
        <f>OVERALL!F$42</f>
        <v>1</v>
      </c>
      <c r="AJ7" s="82">
        <f>OVERALL!F$43</f>
        <v>0.66666666666666663</v>
      </c>
      <c r="AK7" s="82">
        <f>OVERALL!F$44</f>
        <v>1</v>
      </c>
      <c r="AL7" s="82">
        <f>OVERALL!F$45</f>
        <v>0.66666666666666663</v>
      </c>
      <c r="AM7" s="271">
        <f>OVERALL!F71</f>
        <v>5.7677469135802469E-3</v>
      </c>
    </row>
    <row r="8" spans="1:39" ht="24" x14ac:dyDescent="0.2">
      <c r="A8" s="116" t="str">
        <f>OVERALL!G$1</f>
        <v>CITY OF LAUNCESTON</v>
      </c>
      <c r="B8" s="140">
        <f>OVERALL!G3</f>
        <v>0.34454166666666663</v>
      </c>
      <c r="C8" s="149">
        <f>OVERALL!G$4</f>
        <v>0.46666666666666667</v>
      </c>
      <c r="D8" s="142">
        <f>OVERALL!G$6</f>
        <v>0.25</v>
      </c>
      <c r="E8" s="150">
        <f>OVERALL!G$7</f>
        <v>1</v>
      </c>
      <c r="F8" s="151">
        <f>OVERALL!G$8</f>
        <v>0</v>
      </c>
      <c r="G8" s="152">
        <f>OVERALL!G$9</f>
        <v>0</v>
      </c>
      <c r="H8" s="153">
        <f>OVERALL!G$10</f>
        <v>0</v>
      </c>
      <c r="I8" s="143">
        <f>OVERALL!G$12</f>
        <v>0.33333333333333331</v>
      </c>
      <c r="J8" s="152">
        <f>OVERALL!G$13</f>
        <v>0</v>
      </c>
      <c r="K8" s="154">
        <f>OVERALL!G$14</f>
        <v>1</v>
      </c>
      <c r="L8" s="155">
        <f>OVERALL!G$15</f>
        <v>0</v>
      </c>
      <c r="M8" s="145">
        <f>OVERALL!G$17</f>
        <v>0.5</v>
      </c>
      <c r="N8" s="152">
        <f>OVERALL!G$18</f>
        <v>0.5</v>
      </c>
      <c r="O8" s="154">
        <f>OVERALL!G$19</f>
        <v>0</v>
      </c>
      <c r="P8" s="154">
        <f>OVERALL!G$20</f>
        <v>0.5</v>
      </c>
      <c r="Q8" s="155">
        <f>OVERALL!G$21</f>
        <v>1</v>
      </c>
      <c r="R8" s="146">
        <f>OVERALL!G$23</f>
        <v>0.33333333333333331</v>
      </c>
      <c r="S8" s="156">
        <f>OVERALL!G$24</f>
        <v>0</v>
      </c>
      <c r="T8" s="153">
        <f>OVERALL!G$25</f>
        <v>0</v>
      </c>
      <c r="U8" s="153">
        <f>OVERALL!G$26</f>
        <v>1</v>
      </c>
      <c r="V8" s="148">
        <f>OVERALL!G$28</f>
        <v>0.875</v>
      </c>
      <c r="W8" s="156">
        <f>OVERALL!G$29</f>
        <v>1</v>
      </c>
      <c r="X8" s="153">
        <f>OVERALL!G$30</f>
        <v>1</v>
      </c>
      <c r="Y8" s="153">
        <f>OVERALL!G$31</f>
        <v>0.5</v>
      </c>
      <c r="Z8" s="153">
        <f>OVERALL!G$32</f>
        <v>1</v>
      </c>
      <c r="AA8" s="72"/>
      <c r="AB8" s="154">
        <f>OVERALL!G$34</f>
        <v>0</v>
      </c>
      <c r="AC8" s="154">
        <f>OVERALL!$F$35</f>
        <v>0</v>
      </c>
      <c r="AD8" s="154">
        <f>OVERALL!$F$36</f>
        <v>0.33333333333333331</v>
      </c>
      <c r="AE8" s="73"/>
      <c r="AF8" s="157">
        <f>OVERALL!G$39</f>
        <v>0.66666666666666663</v>
      </c>
      <c r="AG8" s="272">
        <f>OVERALL!G$40</f>
        <v>1.3252314814814815E-3</v>
      </c>
      <c r="AH8" s="158">
        <f>OVERALL!G$41</f>
        <v>4</v>
      </c>
      <c r="AI8" s="154">
        <f>OVERALL!G$42</f>
        <v>0.5</v>
      </c>
      <c r="AJ8" s="154">
        <f>OVERALL!G$43</f>
        <v>0.5</v>
      </c>
      <c r="AK8" s="154">
        <f>OVERALL!G$44</f>
        <v>0.5</v>
      </c>
      <c r="AL8" s="154">
        <f>OVERALL!G$45</f>
        <v>0</v>
      </c>
      <c r="AM8" s="272">
        <f>OVERALL!G71</f>
        <v>2.9571759259259256E-3</v>
      </c>
    </row>
    <row r="9" spans="1:39" ht="24" x14ac:dyDescent="0.2">
      <c r="A9" s="116" t="str">
        <f>OVERALL!H$1</f>
        <v>MONASH CITY</v>
      </c>
      <c r="B9" s="140">
        <f>OVERALL!H3</f>
        <v>0.56333333333333324</v>
      </c>
      <c r="C9" s="141">
        <f>OVERALL!H$4</f>
        <v>0.43333333333333329</v>
      </c>
      <c r="D9" s="142">
        <f>OVERALL!H$6</f>
        <v>0</v>
      </c>
      <c r="E9" s="70">
        <f>OVERALL!H$7</f>
        <v>0</v>
      </c>
      <c r="F9" s="71">
        <f>OVERALL!H$8</f>
        <v>0</v>
      </c>
      <c r="G9" s="81">
        <f>OVERALL!H$9</f>
        <v>0</v>
      </c>
      <c r="H9" s="83">
        <f>OVERALL!H$10</f>
        <v>0</v>
      </c>
      <c r="I9" s="143">
        <f>OVERALL!H$12</f>
        <v>0.33333333333333331</v>
      </c>
      <c r="J9" s="81">
        <f>OVERALL!H$13</f>
        <v>0</v>
      </c>
      <c r="K9" s="82">
        <f>OVERALL!H$14</f>
        <v>1</v>
      </c>
      <c r="L9" s="144">
        <f>OVERALL!H$15</f>
        <v>0</v>
      </c>
      <c r="M9" s="145">
        <f>OVERALL!H$17</f>
        <v>0.66666666666666663</v>
      </c>
      <c r="N9" s="81">
        <f>OVERALL!H$18</f>
        <v>0.66666666666666663</v>
      </c>
      <c r="O9" s="82">
        <f>OVERALL!H$19</f>
        <v>0</v>
      </c>
      <c r="P9" s="82">
        <f>OVERALL!H$20</f>
        <v>1</v>
      </c>
      <c r="Q9" s="144">
        <f>OVERALL!H$21</f>
        <v>1</v>
      </c>
      <c r="R9" s="146">
        <f>OVERALL!H$23</f>
        <v>0.33333333333333331</v>
      </c>
      <c r="S9" s="147">
        <f>OVERALL!H$24</f>
        <v>0</v>
      </c>
      <c r="T9" s="83">
        <f>OVERALL!H$25</f>
        <v>0</v>
      </c>
      <c r="U9" s="83">
        <f>OVERALL!H$26</f>
        <v>1</v>
      </c>
      <c r="V9" s="148">
        <f>OVERALL!H$28</f>
        <v>0.75</v>
      </c>
      <c r="W9" s="147">
        <f>OVERALL!H$29</f>
        <v>1</v>
      </c>
      <c r="X9" s="83">
        <f>OVERALL!H$30</f>
        <v>0.66666666666666663</v>
      </c>
      <c r="Y9" s="83">
        <f>OVERALL!H$31</f>
        <v>0.33333333333333331</v>
      </c>
      <c r="Z9" s="83">
        <f>OVERALL!H$32</f>
        <v>1</v>
      </c>
      <c r="AA9" s="72"/>
      <c r="AB9" s="82">
        <f>OVERALL!H$34</f>
        <v>0</v>
      </c>
      <c r="AC9" s="82">
        <f>OVERALL!$K$35</f>
        <v>0</v>
      </c>
      <c r="AD9" s="82">
        <f>OVERALL!$K$36</f>
        <v>0</v>
      </c>
      <c r="AE9" s="73"/>
      <c r="AF9" s="84">
        <f>OVERALL!H$39</f>
        <v>1</v>
      </c>
      <c r="AG9" s="271">
        <f>OVERALL!H$40</f>
        <v>1.4390432098765431E-3</v>
      </c>
      <c r="AH9" s="85">
        <f>OVERALL!H$41</f>
        <v>4.333333333333333</v>
      </c>
      <c r="AI9" s="82">
        <f>OVERALL!H$42</f>
        <v>0.66666666666666663</v>
      </c>
      <c r="AJ9" s="82">
        <f>OVERALL!H$43</f>
        <v>0.33333333333333331</v>
      </c>
      <c r="AK9" s="82">
        <f>OVERALL!H$44</f>
        <v>0.66666666666666663</v>
      </c>
      <c r="AL9" s="82">
        <f>OVERALL!H$45</f>
        <v>0.66666666666666663</v>
      </c>
      <c r="AM9" s="271">
        <f>OVERALL!H71</f>
        <v>2.0833333333333333E-3</v>
      </c>
    </row>
    <row r="10" spans="1:39" ht="24" x14ac:dyDescent="0.2">
      <c r="A10" s="116" t="str">
        <f>OVERALL!I$1</f>
        <v>CITY OF ONKAPARINGA</v>
      </c>
      <c r="B10" s="140">
        <f>OVERALL!I3</f>
        <v>0.64687499999999998</v>
      </c>
      <c r="C10" s="149">
        <f>OVERALL!I$4</f>
        <v>0.6</v>
      </c>
      <c r="D10" s="142">
        <f>OVERALL!I$6</f>
        <v>8.3333333333333329E-2</v>
      </c>
      <c r="E10" s="150">
        <f>OVERALL!I$7</f>
        <v>0</v>
      </c>
      <c r="F10" s="151">
        <f>OVERALL!I$8</f>
        <v>0.33333333333333331</v>
      </c>
      <c r="G10" s="152">
        <f>OVERALL!I$9</f>
        <v>0</v>
      </c>
      <c r="H10" s="153">
        <f>OVERALL!I$10</f>
        <v>0</v>
      </c>
      <c r="I10" s="143">
        <f>OVERALL!I$12</f>
        <v>0.66666666666666663</v>
      </c>
      <c r="J10" s="152">
        <f>OVERALL!I$13</f>
        <v>0.33333333333333331</v>
      </c>
      <c r="K10" s="154">
        <f>OVERALL!I$14</f>
        <v>1</v>
      </c>
      <c r="L10" s="155">
        <f>OVERALL!I$15</f>
        <v>0.66666666666666663</v>
      </c>
      <c r="M10" s="145">
        <f>OVERALL!I$17</f>
        <v>0.66666666666666663</v>
      </c>
      <c r="N10" s="152">
        <f>OVERALL!I$18</f>
        <v>0.66666666666666663</v>
      </c>
      <c r="O10" s="154">
        <f>OVERALL!I$19</f>
        <v>0</v>
      </c>
      <c r="P10" s="154">
        <f>OVERALL!I$20</f>
        <v>1</v>
      </c>
      <c r="Q10" s="155">
        <f>OVERALL!I$21</f>
        <v>1</v>
      </c>
      <c r="R10" s="146">
        <f>OVERALL!I$23</f>
        <v>0.55555555555555547</v>
      </c>
      <c r="S10" s="156">
        <f>OVERALL!I$24</f>
        <v>0.66666666666666663</v>
      </c>
      <c r="T10" s="153">
        <f>OVERALL!I$25</f>
        <v>0</v>
      </c>
      <c r="U10" s="153">
        <f>OVERALL!I$26</f>
        <v>1</v>
      </c>
      <c r="V10" s="148">
        <f>OVERALL!I$28</f>
        <v>1</v>
      </c>
      <c r="W10" s="156">
        <f>OVERALL!I$29</f>
        <v>1</v>
      </c>
      <c r="X10" s="153">
        <f>OVERALL!I$30</f>
        <v>1</v>
      </c>
      <c r="Y10" s="153">
        <f>OVERALL!I$31</f>
        <v>1</v>
      </c>
      <c r="Z10" s="153">
        <f>OVERALL!I$32</f>
        <v>1</v>
      </c>
      <c r="AA10" s="72"/>
      <c r="AB10" s="154">
        <f>OVERALL!I$34</f>
        <v>0</v>
      </c>
      <c r="AC10" s="154">
        <f>OVERALL!$L$35</f>
        <v>0</v>
      </c>
      <c r="AD10" s="154">
        <f>OVERALL!$L$36</f>
        <v>0</v>
      </c>
      <c r="AE10" s="73"/>
      <c r="AF10" s="157">
        <f>OVERALL!I$39</f>
        <v>1</v>
      </c>
      <c r="AG10" s="272">
        <f>OVERALL!I$40</f>
        <v>1.9058641975308644E-3</v>
      </c>
      <c r="AH10" s="158">
        <f>OVERALL!I$41</f>
        <v>5.666666666666667</v>
      </c>
      <c r="AI10" s="154">
        <f>OVERALL!I$42</f>
        <v>0.66666666666666663</v>
      </c>
      <c r="AJ10" s="154">
        <f>OVERALL!I$43</f>
        <v>0.66666666666666663</v>
      </c>
      <c r="AK10" s="154">
        <f>OVERALL!I$44</f>
        <v>0.66666666666666663</v>
      </c>
      <c r="AL10" s="154">
        <f>OVERALL!I$45</f>
        <v>1</v>
      </c>
      <c r="AM10" s="272">
        <f>OVERALL!I71</f>
        <v>4.5563271604938281E-3</v>
      </c>
    </row>
    <row r="11" spans="1:39" ht="24" x14ac:dyDescent="0.2">
      <c r="A11" s="116" t="str">
        <f>OVERALL!J$1</f>
        <v>CITY OF STIRLING</v>
      </c>
      <c r="B11" s="140">
        <f>OVERALL!J3</f>
        <v>0.67131944444444447</v>
      </c>
      <c r="C11" s="149">
        <f>OVERALL!J$4</f>
        <v>0.62777777777777788</v>
      </c>
      <c r="D11" s="142">
        <f>OVERALL!J$6</f>
        <v>0.33333333333333331</v>
      </c>
      <c r="E11" s="150">
        <f>OVERALL!J$7</f>
        <v>1</v>
      </c>
      <c r="F11" s="151">
        <f>OVERALL!J$8</f>
        <v>0.33333333333333331</v>
      </c>
      <c r="G11" s="152">
        <f>OVERALL!J$9</f>
        <v>0</v>
      </c>
      <c r="H11" s="153">
        <f>OVERALL!J$10</f>
        <v>0</v>
      </c>
      <c r="I11" s="143">
        <f>OVERALL!J$12</f>
        <v>0.55555555555555547</v>
      </c>
      <c r="J11" s="152">
        <f>OVERALL!J$13</f>
        <v>0.33333333333333331</v>
      </c>
      <c r="K11" s="154">
        <f>OVERALL!J$14</f>
        <v>1</v>
      </c>
      <c r="L11" s="155">
        <f>OVERALL!J$15</f>
        <v>0.33333333333333331</v>
      </c>
      <c r="M11" s="145">
        <f>OVERALL!J$17</f>
        <v>0.66666666666666663</v>
      </c>
      <c r="N11" s="152">
        <f>OVERALL!J$18</f>
        <v>0.66666666666666663</v>
      </c>
      <c r="O11" s="154">
        <f>OVERALL!J$19</f>
        <v>0</v>
      </c>
      <c r="P11" s="154">
        <f>OVERALL!J$20</f>
        <v>1</v>
      </c>
      <c r="Q11" s="155">
        <f>OVERALL!J$21</f>
        <v>1</v>
      </c>
      <c r="R11" s="146">
        <f>OVERALL!J$23</f>
        <v>0.66666666666666663</v>
      </c>
      <c r="S11" s="156">
        <f>OVERALL!J$24</f>
        <v>0.33333333333333331</v>
      </c>
      <c r="T11" s="153">
        <f>OVERALL!J$25</f>
        <v>0.66666666666666663</v>
      </c>
      <c r="U11" s="153">
        <f>OVERALL!J$26</f>
        <v>1</v>
      </c>
      <c r="V11" s="148">
        <f>OVERALL!J$28</f>
        <v>0.91666666666666663</v>
      </c>
      <c r="W11" s="156">
        <f>OVERALL!J$29</f>
        <v>1</v>
      </c>
      <c r="X11" s="153">
        <f>OVERALL!J$30</f>
        <v>0.66666666666666663</v>
      </c>
      <c r="Y11" s="153">
        <f>OVERALL!J$31</f>
        <v>1</v>
      </c>
      <c r="Z11" s="153">
        <f>OVERALL!J$32</f>
        <v>1</v>
      </c>
      <c r="AA11" s="72"/>
      <c r="AB11" s="154">
        <f>OVERALL!J$34</f>
        <v>0</v>
      </c>
      <c r="AC11" s="154">
        <f>OVERALL!$L$35</f>
        <v>0</v>
      </c>
      <c r="AD11" s="154">
        <f>OVERALL!$L$36</f>
        <v>0</v>
      </c>
      <c r="AE11" s="73"/>
      <c r="AF11" s="157">
        <f>OVERALL!J$39</f>
        <v>1</v>
      </c>
      <c r="AG11" s="272">
        <f>OVERALL!J$40</f>
        <v>2.6890432098765431E-3</v>
      </c>
      <c r="AH11" s="158">
        <f>OVERALL!J$41</f>
        <v>6</v>
      </c>
      <c r="AI11" s="154">
        <f>OVERALL!J$42</f>
        <v>0.66666666666666663</v>
      </c>
      <c r="AJ11" s="154">
        <f>OVERALL!J$43</f>
        <v>0.66666666666666663</v>
      </c>
      <c r="AK11" s="154">
        <f>OVERALL!J$44</f>
        <v>1</v>
      </c>
      <c r="AL11" s="154">
        <f>OVERALL!J$45</f>
        <v>1</v>
      </c>
      <c r="AM11" s="272">
        <f>OVERALL!J71</f>
        <v>3.6265432098765431E-3</v>
      </c>
    </row>
    <row r="12" spans="1:39" ht="24" x14ac:dyDescent="0.2">
      <c r="A12" s="116" t="str">
        <f>OVERALL!K$1</f>
        <v>COUNCILS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COUNCILS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COUNCILS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COUNCILS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COUNCILS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COUNCILS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COUNCILS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COUNCILS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COUNCILS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COUNCILS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COUNCILS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COUNCILS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COUNCILS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COUNCILS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COUNCILS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COUNCILS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COUNCILS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COUNCILS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COUNCILS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COUNCILS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COUNCILS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COUNCILS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COUNCILS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0.54603854875283442</v>
      </c>
      <c r="C35" s="167">
        <f>OVERALL!B$4</f>
        <v>0.55049603174603179</v>
      </c>
      <c r="D35" s="168">
        <f>OVERALL!B$6</f>
        <v>0.20833333333333329</v>
      </c>
      <c r="E35" s="169">
        <f>OVERALL!B$7</f>
        <v>0.5714285714285714</v>
      </c>
      <c r="F35" s="170">
        <f>OVERALL!B$8</f>
        <v>0.21428571428571425</v>
      </c>
      <c r="G35" s="170">
        <f>OVERALL!B$9</f>
        <v>4.7619047619047616E-2</v>
      </c>
      <c r="H35" s="171">
        <f>OVERALL!B$10</f>
        <v>0</v>
      </c>
      <c r="I35" s="172">
        <f>OVERALL!B$12</f>
        <v>0.49206349206349198</v>
      </c>
      <c r="J35" s="173">
        <f>OVERALL!B$13</f>
        <v>0.14285714285714285</v>
      </c>
      <c r="K35" s="174">
        <f>OVERALL!B$14</f>
        <v>1</v>
      </c>
      <c r="L35" s="175">
        <f>OVERALL!B$15</f>
        <v>0.33333333333333337</v>
      </c>
      <c r="M35" s="176">
        <f>OVERALL!B$17</f>
        <v>0.6607142857142857</v>
      </c>
      <c r="N35" s="173">
        <f>OVERALL!B$18</f>
        <v>0.7142857142857143</v>
      </c>
      <c r="O35" s="174">
        <f>OVERALL!B$19</f>
        <v>0</v>
      </c>
      <c r="P35" s="174">
        <f>OVERALL!B$20</f>
        <v>0.9285714285714286</v>
      </c>
      <c r="Q35" s="175">
        <f>OVERALL!B$21</f>
        <v>1</v>
      </c>
      <c r="R35" s="177">
        <f>OVERALL!B$23</f>
        <v>0.4365079365079364</v>
      </c>
      <c r="S35" s="178">
        <f>OVERALL!B$24</f>
        <v>0.21428571428571425</v>
      </c>
      <c r="T35" s="179">
        <f>OVERALL!B$25</f>
        <v>9.5238095238095233E-2</v>
      </c>
      <c r="U35" s="180">
        <f>OVERALL!B$26</f>
        <v>1</v>
      </c>
      <c r="V35" s="181">
        <f>OVERALL!B$28</f>
        <v>0.92261904761904756</v>
      </c>
      <c r="W35" s="178">
        <f>OVERALL!B$29</f>
        <v>1</v>
      </c>
      <c r="X35" s="179">
        <f>OVERALL!B$30</f>
        <v>0.90476190476190488</v>
      </c>
      <c r="Y35" s="179">
        <f>OVERALL!B$31</f>
        <v>0.7857142857142857</v>
      </c>
      <c r="Z35" s="179">
        <f>OVERALL!B$32</f>
        <v>1</v>
      </c>
      <c r="AA35" s="182"/>
      <c r="AB35" s="179">
        <f>OVERALL!B$34</f>
        <v>4.7619047619047616E-2</v>
      </c>
      <c r="AC35" s="179">
        <f>OVERALL!B$35</f>
        <v>0</v>
      </c>
      <c r="AD35" s="179">
        <f>OVERALL!B$36</f>
        <v>4.7619047619047616E-2</v>
      </c>
      <c r="AE35" s="251">
        <f>OVERALL!B$39</f>
        <v>0.90476190476190477</v>
      </c>
      <c r="AF35" s="255">
        <f>OVERALL!B$39</f>
        <v>0.90476190476190477</v>
      </c>
      <c r="AG35" s="279">
        <f>OVERALL!B40</f>
        <v>2.0166446208112875E-3</v>
      </c>
      <c r="AH35" s="183">
        <f>OVERALL!B$41</f>
        <v>5.1428571428571432</v>
      </c>
      <c r="AI35" s="179">
        <f>OVERALL!B$42</f>
        <v>0.7142857142857143</v>
      </c>
      <c r="AJ35" s="179">
        <f>OVERALL!B$43</f>
        <v>0.49999999999999994</v>
      </c>
      <c r="AK35" s="179">
        <f>OVERALL!B$44</f>
        <v>0.76190476190476186</v>
      </c>
      <c r="AL35" s="179">
        <f>OVERALL!B$45</f>
        <v>0.7142857142857143</v>
      </c>
      <c r="AM35" s="276">
        <f>OVERALL!B71</f>
        <v>4.2443783068783075E-3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80" zoomScaleNormal="80" workbookViewId="0">
      <pane xSplit="3" ySplit="6" topLeftCell="D44"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307" t="s">
        <v>161</v>
      </c>
      <c r="E2" s="293" t="s">
        <v>133</v>
      </c>
      <c r="F2" s="303" t="s">
        <v>148</v>
      </c>
    </row>
    <row r="3" spans="1:8" ht="19" x14ac:dyDescent="0.2">
      <c r="A3" s="32" t="str">
        <f>OVERALL!J1</f>
        <v>CITY OF STIRLING</v>
      </c>
      <c r="B3" s="248">
        <f>OVERALL!J3</f>
        <v>0.67131944444444447</v>
      </c>
      <c r="C3" s="108" t="s">
        <v>73</v>
      </c>
      <c r="D3" s="109">
        <f>IF(D2="-","-",D57)</f>
        <v>0.70854166666666663</v>
      </c>
      <c r="E3" s="109">
        <f t="shared" ref="E3:F3" si="0">IF(E2="-","-",E57)</f>
        <v>0.5697916666666667</v>
      </c>
      <c r="F3" s="109">
        <f t="shared" si="0"/>
        <v>0.73562499999999997</v>
      </c>
    </row>
    <row r="4" spans="1:8" ht="18" customHeight="1" x14ac:dyDescent="0.2">
      <c r="A4" s="17" t="str">
        <f>OVERALL!A4</f>
        <v>QUALITY SCORE</v>
      </c>
      <c r="B4" s="38">
        <f>IF(C2=0, "-", IF(COUNTIF(D39:F39, "n")=C2, "-", IF(COUNT(D4:F4)=0, "-", AVERAGE(D4:F4))))</f>
        <v>0.62777777777777788</v>
      </c>
      <c r="C4" s="58" t="s">
        <v>1</v>
      </c>
      <c r="D4" s="38">
        <f>IF(D48&lt;0%,0%,IF(D$2="-","-",IF(D$39="n", "-", SUM(D$6,D$12,D$17,D$23,D$28,D$34))))</f>
        <v>0.65416666666666667</v>
      </c>
      <c r="E4" s="38">
        <f t="shared" ref="E4:F4" si="1">IF(E48&lt;0%,0%,IF(E$2="-","-",IF(E$39="n", "-", SUM(E$6,E$12,E$17,E$23,E$28,E$34))))</f>
        <v>0.4916666666666667</v>
      </c>
      <c r="F4" s="38">
        <f t="shared" si="1"/>
        <v>0.73750000000000004</v>
      </c>
      <c r="H4" s="12" t="s">
        <v>8</v>
      </c>
    </row>
    <row r="5" spans="1:8" ht="18" customHeight="1" x14ac:dyDescent="0.25">
      <c r="A5" s="57" t="s">
        <v>48</v>
      </c>
      <c r="B5" s="58">
        <f>IF(B6="-","-",AVERAGE(D5:F5))</f>
        <v>0.62777777777777788</v>
      </c>
      <c r="C5" s="58" t="s">
        <v>1</v>
      </c>
      <c r="D5" s="60">
        <f t="shared" ref="D5:F5" si="2">IF(D$2="","",IF(D$39="n", "", SUM(D$6,D$12,D$17,D$23,D$28)))</f>
        <v>0.65416666666666667</v>
      </c>
      <c r="E5" s="60">
        <f t="shared" si="2"/>
        <v>0.4916666666666667</v>
      </c>
      <c r="F5" s="60">
        <f t="shared" si="2"/>
        <v>0.73750000000000004</v>
      </c>
      <c r="H5" s="7" t="s">
        <v>16</v>
      </c>
    </row>
    <row r="6" spans="1:8" ht="18" customHeight="1" x14ac:dyDescent="0.2">
      <c r="A6" s="20" t="str">
        <f>OVERALL!A6</f>
        <v>ENGAGE</v>
      </c>
      <c r="B6" s="21">
        <f>IF(C11=0,"-",AVERAGE(B7:B10))</f>
        <v>0.33333333333333331</v>
      </c>
      <c r="C6" s="61" t="s">
        <v>0</v>
      </c>
      <c r="D6" s="28">
        <f>IF(D11=0,"-",(COUNTIF(D7:D10, "y")/D11)*OVERALL!$C$6)</f>
        <v>0.1</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306" t="s">
        <v>124</v>
      </c>
      <c r="E7" s="292" t="s">
        <v>124</v>
      </c>
      <c r="F7" s="302" t="s">
        <v>124</v>
      </c>
      <c r="H7" s="11" t="s">
        <v>2</v>
      </c>
    </row>
    <row r="8" spans="1:8" ht="18" customHeight="1" x14ac:dyDescent="0.25">
      <c r="A8" s="33" t="str">
        <f>OVERALL!A8</f>
        <v>INTENT</v>
      </c>
      <c r="B8" s="3">
        <f>IF(C8=0,"-",COUNTIF(D8:F8,"y")/C8)</f>
        <v>0.33333333333333331</v>
      </c>
      <c r="C8" s="26">
        <f>$C$2-COUNTIF(D8:F8, "-")</f>
        <v>3</v>
      </c>
      <c r="D8" s="306" t="s">
        <v>124</v>
      </c>
      <c r="E8" s="292" t="s">
        <v>123</v>
      </c>
      <c r="F8" s="302" t="s">
        <v>123</v>
      </c>
      <c r="H8" s="7" t="s">
        <v>15</v>
      </c>
    </row>
    <row r="9" spans="1:8" ht="18" customHeight="1" x14ac:dyDescent="0.2">
      <c r="A9" s="33" t="str">
        <f>OVERALL!A9</f>
        <v>NAME</v>
      </c>
      <c r="B9" s="3">
        <f>IF(C9=0,"-",COUNTIF(D9:F9,"y")/C9)</f>
        <v>0</v>
      </c>
      <c r="C9" s="26">
        <f>$C$2-COUNTIF(D9:F9, "-")</f>
        <v>3</v>
      </c>
      <c r="D9" s="306" t="s">
        <v>123</v>
      </c>
      <c r="E9" s="292" t="s">
        <v>123</v>
      </c>
      <c r="F9" s="302" t="s">
        <v>123</v>
      </c>
      <c r="H9" t="s">
        <v>1</v>
      </c>
    </row>
    <row r="10" spans="1:8" ht="18" customHeight="1" x14ac:dyDescent="0.2">
      <c r="A10" s="33" t="str">
        <f>OVERALL!A10</f>
        <v>BRIDGE</v>
      </c>
      <c r="B10" s="3">
        <f>IF(C10=0,"-",COUNTIF(D10:F10,"y")/C10)</f>
        <v>0</v>
      </c>
      <c r="C10" s="26">
        <f>$C$2-COUNTIF(D10:F10, "-")</f>
        <v>3</v>
      </c>
      <c r="D10" s="306" t="s">
        <v>123</v>
      </c>
      <c r="E10" s="292" t="s">
        <v>123</v>
      </c>
      <c r="F10" s="302"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6.6666666666666666E-2</v>
      </c>
      <c r="E12" s="28">
        <f>IF(E16=0,"-",(COUNTIF(E13:E15, "y")/E16)*OVERALL!$C$12)</f>
        <v>6.6666666666666666E-2</v>
      </c>
      <c r="F12" s="28">
        <f>IF(F16=0,"-",(COUNTIF(F13:F15, "y")/F16)*OVERALL!$C$12)</f>
        <v>0.2</v>
      </c>
      <c r="H12" t="s">
        <v>1</v>
      </c>
    </row>
    <row r="13" spans="1:8" ht="18" customHeight="1" x14ac:dyDescent="0.2">
      <c r="A13" s="33" t="str">
        <f>OVERALL!A13</f>
        <v>CONVERSE</v>
      </c>
      <c r="B13" s="3">
        <f>IF(C13=0,"-",COUNTIF(D13:F13,"y")/C13)</f>
        <v>0.33333333333333331</v>
      </c>
      <c r="C13" s="26">
        <f>$C$2-COUNTIF(D13:F13, "-")</f>
        <v>3</v>
      </c>
      <c r="D13" s="306" t="s">
        <v>123</v>
      </c>
      <c r="E13" s="292" t="s">
        <v>123</v>
      </c>
      <c r="F13" s="302" t="s">
        <v>124</v>
      </c>
      <c r="H13" s="14" t="s">
        <v>4</v>
      </c>
    </row>
    <row r="14" spans="1:8" ht="18" customHeight="1" x14ac:dyDescent="0.25">
      <c r="A14" s="33" t="str">
        <f>OVERALL!A14</f>
        <v>LISTEN</v>
      </c>
      <c r="B14" s="3">
        <f>IF(C14=0,"-",COUNTIF(D14:F14,"y")/C14)</f>
        <v>1</v>
      </c>
      <c r="C14" s="26">
        <f>$C$2-COUNTIF(D14:F14, "-")</f>
        <v>3</v>
      </c>
      <c r="D14" s="306" t="s">
        <v>124</v>
      </c>
      <c r="E14" s="292" t="s">
        <v>124</v>
      </c>
      <c r="F14" s="302" t="s">
        <v>124</v>
      </c>
      <c r="H14" s="9" t="s">
        <v>13</v>
      </c>
    </row>
    <row r="15" spans="1:8" ht="18" customHeight="1" x14ac:dyDescent="0.2">
      <c r="A15" s="33" t="str">
        <f>OVERALL!A15</f>
        <v>CONFIRM</v>
      </c>
      <c r="B15" s="3">
        <f>IF(C15=0,"-",COUNTIF(D15:F15,"y")/C15)</f>
        <v>0.33333333333333331</v>
      </c>
      <c r="C15" s="26">
        <f>$C$2-COUNTIF(D15:F15, "-")</f>
        <v>3</v>
      </c>
      <c r="D15" s="306" t="s">
        <v>123</v>
      </c>
      <c r="E15" s="292" t="s">
        <v>123</v>
      </c>
      <c r="F15" s="302"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306" t="s">
        <v>124</v>
      </c>
      <c r="E18" s="292" t="s">
        <v>123</v>
      </c>
      <c r="F18" s="302" t="s">
        <v>124</v>
      </c>
    </row>
    <row r="19" spans="1:11" ht="18" customHeight="1" x14ac:dyDescent="0.2">
      <c r="A19" s="33" t="str">
        <f>OVERALL!A19</f>
        <v>CHECK</v>
      </c>
      <c r="B19" s="3">
        <f>IF(C19=0,"-",COUNTIF(D19:F19,"y")/C19)</f>
        <v>0</v>
      </c>
      <c r="C19" s="26">
        <f>$C$2-COUNTIF(D19:F19, "-")</f>
        <v>3</v>
      </c>
      <c r="D19" s="306" t="s">
        <v>123</v>
      </c>
      <c r="E19" s="292" t="s">
        <v>123</v>
      </c>
      <c r="F19" s="302" t="s">
        <v>123</v>
      </c>
    </row>
    <row r="20" spans="1:11" ht="18" customHeight="1" x14ac:dyDescent="0.2">
      <c r="A20" s="33" t="str">
        <f>OVERALL!A20</f>
        <v>SEEK</v>
      </c>
      <c r="B20" s="3">
        <f>IF(C20=0,"-",COUNTIF(D20:F20,"y")/C20)</f>
        <v>1</v>
      </c>
      <c r="C20" s="26">
        <f>$C$2-COUNTIF(D20:F20, "-")</f>
        <v>3</v>
      </c>
      <c r="D20" s="306" t="s">
        <v>124</v>
      </c>
      <c r="E20" s="292" t="s">
        <v>124</v>
      </c>
      <c r="F20" s="302" t="s">
        <v>124</v>
      </c>
      <c r="H20" t="s">
        <v>1</v>
      </c>
    </row>
    <row r="21" spans="1:11" ht="18" customHeight="1" x14ac:dyDescent="0.2">
      <c r="A21" s="33" t="str">
        <f>OVERALL!A21</f>
        <v>CONFIDENCE</v>
      </c>
      <c r="B21" s="3">
        <f>IF(C21=0,"-",COUNTIF(D21:F21,"y")/C21)</f>
        <v>1</v>
      </c>
      <c r="C21" s="26">
        <f>$C$2-COUNTIF(D21:F21, "-")</f>
        <v>3</v>
      </c>
      <c r="D21" s="306" t="s">
        <v>124</v>
      </c>
      <c r="E21" s="292" t="s">
        <v>124</v>
      </c>
      <c r="F21" s="302"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306" t="s">
        <v>123</v>
      </c>
      <c r="E24" s="292" t="s">
        <v>123</v>
      </c>
      <c r="F24" s="302" t="s">
        <v>124</v>
      </c>
    </row>
    <row r="25" spans="1:11" ht="18" customHeight="1" x14ac:dyDescent="0.2">
      <c r="A25" s="33" t="str">
        <f>OVERALL!A25</f>
        <v>GRATITUDE</v>
      </c>
      <c r="B25" s="3">
        <f>IF(C25=0,"-",COUNTIF(D25:F25,"y")/C25)</f>
        <v>0.66666666666666663</v>
      </c>
      <c r="C25" s="26">
        <f>$C$2-COUNTIF(D25:F25, "-")</f>
        <v>3</v>
      </c>
      <c r="D25" s="306" t="s">
        <v>124</v>
      </c>
      <c r="E25" s="292" t="s">
        <v>124</v>
      </c>
      <c r="F25" s="302" t="s">
        <v>123</v>
      </c>
    </row>
    <row r="26" spans="1:11" ht="18" customHeight="1" x14ac:dyDescent="0.2">
      <c r="A26" s="33" t="str">
        <f>OVERALL!A26</f>
        <v>THANKS</v>
      </c>
      <c r="B26" s="3">
        <f>IF(C26=0,"-",COUNTIF(D26:F26,"y")/C26)</f>
        <v>1</v>
      </c>
      <c r="C26" s="26">
        <f>$C$2-COUNTIF(D26:F26, "-")</f>
        <v>3</v>
      </c>
      <c r="D26" s="306" t="s">
        <v>124</v>
      </c>
      <c r="E26" s="292" t="s">
        <v>124</v>
      </c>
      <c r="F26" s="302"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3</v>
      </c>
      <c r="D29" s="306" t="s">
        <v>124</v>
      </c>
      <c r="E29" s="292" t="s">
        <v>124</v>
      </c>
      <c r="F29" s="302" t="s">
        <v>124</v>
      </c>
    </row>
    <row r="30" spans="1:11" ht="18" customHeight="1" x14ac:dyDescent="0.2">
      <c r="A30" s="33" t="str">
        <f>OVERALL!A30</f>
        <v>EMPATHY</v>
      </c>
      <c r="B30" s="3">
        <f>IF(C30=0,"-",COUNTIF(D30:F30,"y")/C30)</f>
        <v>0.66666666666666663</v>
      </c>
      <c r="C30" s="26">
        <f>$C$2-COUNTIF(D30:F30, "-")</f>
        <v>3</v>
      </c>
      <c r="D30" s="306" t="s">
        <v>124</v>
      </c>
      <c r="E30" s="292" t="s">
        <v>123</v>
      </c>
      <c r="F30" s="302" t="s">
        <v>124</v>
      </c>
    </row>
    <row r="31" spans="1:11" ht="18" customHeight="1" x14ac:dyDescent="0.2">
      <c r="A31" s="33" t="str">
        <f>OVERALL!A31</f>
        <v>CONTROL</v>
      </c>
      <c r="B31" s="3">
        <f>IF(C31=0,"-",COUNTIF(D31:F31,"y")/C31)</f>
        <v>1</v>
      </c>
      <c r="C31" s="26">
        <f>$C$2-COUNTIF(D31:F31, "-")</f>
        <v>3</v>
      </c>
      <c r="D31" s="306" t="s">
        <v>124</v>
      </c>
      <c r="E31" s="292" t="s">
        <v>124</v>
      </c>
      <c r="F31" s="302" t="s">
        <v>124</v>
      </c>
    </row>
    <row r="32" spans="1:11" ht="18" customHeight="1" x14ac:dyDescent="0.2">
      <c r="A32" s="33" t="str">
        <f>OVERALL!A32</f>
        <v>CLARITY</v>
      </c>
      <c r="B32" s="3">
        <f>IF(C32=0,"-",COUNTIF(D32:F32,"y")/C32)</f>
        <v>1</v>
      </c>
      <c r="C32" s="26">
        <f>$C$2-COUNTIF(D32:F32, "-")</f>
        <v>3</v>
      </c>
      <c r="D32" s="306" t="s">
        <v>124</v>
      </c>
      <c r="E32" s="292" t="s">
        <v>124</v>
      </c>
      <c r="F32" s="302"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6" t="s">
        <v>123</v>
      </c>
      <c r="E35" s="292" t="s">
        <v>123</v>
      </c>
      <c r="F35" s="302" t="s">
        <v>123</v>
      </c>
      <c r="H35" s="48">
        <v>-0.3</v>
      </c>
      <c r="J35" s="48"/>
      <c r="K35" s="48"/>
      <c r="L35" s="48"/>
    </row>
    <row r="36" spans="1:13" ht="18" customHeight="1" x14ac:dyDescent="0.2">
      <c r="A36" s="45" t="str">
        <f>OVERALL!A36</f>
        <v>AUDIO ISSUE (DISTRACTION)</v>
      </c>
      <c r="B36" s="3">
        <f>IF(C36=0,"-",COUNTIF(D36:F36,"y")/C36)</f>
        <v>0</v>
      </c>
      <c r="C36" s="26">
        <f>$C$2-COUNTIF(D36:F36, "-")</f>
        <v>3</v>
      </c>
      <c r="D36" s="306" t="s">
        <v>123</v>
      </c>
      <c r="E36" s="292" t="s">
        <v>123</v>
      </c>
      <c r="F36" s="302"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0" t="str">
        <f>OVERALL!A38</f>
        <v>ADDITIONAL INSIGHT</v>
      </c>
      <c r="B38" s="351"/>
      <c r="C38" s="10" t="s">
        <v>1</v>
      </c>
      <c r="D38" s="30"/>
      <c r="E38" s="30"/>
      <c r="F38" s="30"/>
    </row>
    <row r="39" spans="1:13" ht="18" customHeight="1" x14ac:dyDescent="0.2">
      <c r="A39" s="33" t="str">
        <f>OVERALL!A39</f>
        <v>CALL ANSWERED-QUALITY</v>
      </c>
      <c r="B39" s="3">
        <f>IF(C39=0,"-",COUNTIF(D39:F39, "y")/C39)</f>
        <v>1</v>
      </c>
      <c r="C39" s="26">
        <f t="shared" ref="C39:C45" si="9">$C$2-COUNTIF(D39:F39, "-")</f>
        <v>3</v>
      </c>
      <c r="D39" s="306" t="s">
        <v>124</v>
      </c>
      <c r="E39" s="292" t="s">
        <v>124</v>
      </c>
      <c r="F39" s="302" t="s">
        <v>124</v>
      </c>
    </row>
    <row r="40" spans="1:13" ht="18" customHeight="1" x14ac:dyDescent="0.2">
      <c r="A40" s="33" t="str">
        <f>OVERALL!A40</f>
        <v>TALK TIME</v>
      </c>
      <c r="B40" s="280">
        <f>IF(C40=0,"-",AVERAGE(D40:F40))</f>
        <v>2.6890432098765431E-3</v>
      </c>
      <c r="C40" s="26">
        <f t="shared" si="9"/>
        <v>3</v>
      </c>
      <c r="D40" s="280">
        <v>2.1527777777777778E-3</v>
      </c>
      <c r="E40" s="280">
        <v>2.662037037037037E-3</v>
      </c>
      <c r="F40" s="280">
        <v>3.2523148148148147E-3</v>
      </c>
      <c r="G40" s="46"/>
      <c r="H40" s="265"/>
      <c r="I40" s="265"/>
      <c r="J40" s="265"/>
      <c r="K40" s="265"/>
      <c r="L40" s="265"/>
      <c r="M40" s="265"/>
    </row>
    <row r="41" spans="1:13" ht="18" customHeight="1" x14ac:dyDescent="0.2">
      <c r="A41" s="33" t="str">
        <f>OVERALL!A41</f>
        <v>ASSESSOR RATING (0-10)</v>
      </c>
      <c r="B41" s="263">
        <f>IF(C41=0,"-",SUM(D41:F41)/C41)</f>
        <v>6</v>
      </c>
      <c r="C41" s="26">
        <f t="shared" si="9"/>
        <v>3</v>
      </c>
      <c r="D41" s="285">
        <v>6</v>
      </c>
      <c r="E41" s="285">
        <v>5</v>
      </c>
      <c r="F41" s="285">
        <v>7</v>
      </c>
    </row>
    <row r="42" spans="1:13" ht="18" customHeight="1" x14ac:dyDescent="0.2">
      <c r="A42" s="33" t="str">
        <f>OVERALL!A42</f>
        <v>EXPLAINED KEY FEATURES</v>
      </c>
      <c r="B42" s="3">
        <f>IF(C42=0,"-",COUNTIF(D42:F42, "y")/C42)</f>
        <v>0.66666666666666663</v>
      </c>
      <c r="C42" s="26">
        <f t="shared" si="9"/>
        <v>3</v>
      </c>
      <c r="D42" s="306" t="s">
        <v>124</v>
      </c>
      <c r="E42" s="292" t="s">
        <v>123</v>
      </c>
      <c r="F42" s="302" t="s">
        <v>124</v>
      </c>
      <c r="G42" s="47"/>
      <c r="H42" t="s">
        <v>1</v>
      </c>
    </row>
    <row r="43" spans="1:13" ht="18" customHeight="1" x14ac:dyDescent="0.2">
      <c r="A43" s="33" t="str">
        <f>OVERALL!A43</f>
        <v>REVEALED PRICING</v>
      </c>
      <c r="B43" s="3">
        <f>IF(C43=0,"-",COUNTIF(D43:F43, "y")/C43)</f>
        <v>0.66666666666666663</v>
      </c>
      <c r="C43" s="26">
        <f t="shared" si="9"/>
        <v>3</v>
      </c>
      <c r="D43" s="306" t="s">
        <v>124</v>
      </c>
      <c r="E43" s="292" t="s">
        <v>123</v>
      </c>
      <c r="F43" s="302" t="s">
        <v>124</v>
      </c>
    </row>
    <row r="44" spans="1:13" ht="18" customHeight="1" x14ac:dyDescent="0.2">
      <c r="A44" s="33" t="str">
        <f>OVERALL!A44</f>
        <v>EXPLAINED ACTIONS &amp; PROCESS</v>
      </c>
      <c r="B44" s="3">
        <f>IF(C44=0,"-",COUNTIF(D44:F44, "y")/C44)</f>
        <v>1</v>
      </c>
      <c r="C44" s="26">
        <f t="shared" si="9"/>
        <v>3</v>
      </c>
      <c r="D44" s="306" t="s">
        <v>124</v>
      </c>
      <c r="E44" s="292" t="s">
        <v>124</v>
      </c>
      <c r="F44" s="302" t="s">
        <v>124</v>
      </c>
    </row>
    <row r="45" spans="1:13" ht="18" customHeight="1" x14ac:dyDescent="0.2">
      <c r="A45" s="33" t="str">
        <f>OVERALL!A45</f>
        <v>WEBSITE EDUCATION</v>
      </c>
      <c r="B45" s="3">
        <f>IF(C45=0,"-",COUNTIF(D45:F45, "y")/C45)</f>
        <v>1</v>
      </c>
      <c r="C45" s="26">
        <f t="shared" si="9"/>
        <v>3</v>
      </c>
      <c r="D45" s="306" t="s">
        <v>124</v>
      </c>
      <c r="E45" s="292" t="s">
        <v>124</v>
      </c>
      <c r="F45" s="302" t="s">
        <v>124</v>
      </c>
    </row>
    <row r="46" spans="1:13" ht="18" customHeight="1" x14ac:dyDescent="0.2">
      <c r="A46" s="18"/>
      <c r="B46" s="3"/>
      <c r="C46" s="26"/>
      <c r="D46" s="263"/>
      <c r="E46" s="263"/>
      <c r="F46" s="263"/>
    </row>
    <row r="47" spans="1:13" ht="135" x14ac:dyDescent="0.2">
      <c r="A47" s="25" t="s">
        <v>1</v>
      </c>
      <c r="B47" s="352" t="s">
        <v>35</v>
      </c>
      <c r="C47" s="353"/>
      <c r="D47" s="23" t="s">
        <v>162</v>
      </c>
      <c r="E47" s="23" t="s">
        <v>134</v>
      </c>
      <c r="F47" s="23" t="s">
        <v>149</v>
      </c>
    </row>
    <row r="48" spans="1:13" ht="18" customHeight="1" x14ac:dyDescent="0.2">
      <c r="A48" s="59" t="s">
        <v>47</v>
      </c>
      <c r="D48" s="50">
        <f t="shared" ref="D48:F48" si="10">IF(D$2="","",IF(D$39="n", "", SUM(D$6,D$12,D$17,D$23,D$28,D$34)))</f>
        <v>0.65416666666666667</v>
      </c>
      <c r="E48" s="50">
        <f t="shared" si="10"/>
        <v>0.4916666666666667</v>
      </c>
      <c r="F48" s="50">
        <f t="shared" si="10"/>
        <v>0.73750000000000004</v>
      </c>
    </row>
    <row r="50" spans="1:6" ht="19" x14ac:dyDescent="0.25">
      <c r="A50" s="110" t="s">
        <v>74</v>
      </c>
      <c r="B50" s="90" t="s">
        <v>75</v>
      </c>
    </row>
    <row r="51" spans="1:6" x14ac:dyDescent="0.2">
      <c r="A51" s="111" t="s">
        <v>63</v>
      </c>
      <c r="B51" s="112">
        <v>0.3</v>
      </c>
      <c r="C51" s="111"/>
      <c r="D51" s="256">
        <f>[1]STIRLING!D$4</f>
        <v>0.8354166666666667</v>
      </c>
      <c r="E51" s="256">
        <f>[1]STIRLING!E$4</f>
        <v>0.75208333333333333</v>
      </c>
      <c r="F51" s="256">
        <f>[1]STIRLING!F$4</f>
        <v>0.73124999999999996</v>
      </c>
    </row>
    <row r="52" spans="1:6" x14ac:dyDescent="0.2">
      <c r="A52" s="111" t="s">
        <v>64</v>
      </c>
      <c r="B52" s="112">
        <v>0.7</v>
      </c>
      <c r="C52" s="111"/>
      <c r="D52" s="257">
        <f t="shared" ref="D52:F52" si="11">D4</f>
        <v>0.65416666666666667</v>
      </c>
      <c r="E52" s="257">
        <f t="shared" si="11"/>
        <v>0.4916666666666667</v>
      </c>
      <c r="F52" s="257">
        <f t="shared" si="11"/>
        <v>0.73750000000000004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0.25062499999999999</v>
      </c>
      <c r="E55" s="257">
        <f t="shared" ref="E55:F55" si="12">IF(E51="-","-",E51*$B$51)</f>
        <v>0.22562499999999999</v>
      </c>
      <c r="F55" s="257">
        <f t="shared" si="12"/>
        <v>0.21937499999999999</v>
      </c>
    </row>
    <row r="56" spans="1:6" x14ac:dyDescent="0.2">
      <c r="A56" s="111" t="s">
        <v>64</v>
      </c>
      <c r="B56" s="111"/>
      <c r="C56" s="111"/>
      <c r="D56" s="257">
        <f t="shared" ref="D56:F56" si="13">IF(D52="-","-",D52*$B$52)</f>
        <v>0.45791666666666664</v>
      </c>
      <c r="E56" s="257">
        <f t="shared" si="13"/>
        <v>0.34416666666666668</v>
      </c>
      <c r="F56" s="257">
        <f t="shared" si="13"/>
        <v>0.51624999999999999</v>
      </c>
    </row>
    <row r="57" spans="1:6" x14ac:dyDescent="0.2">
      <c r="A57" s="114" t="s">
        <v>59</v>
      </c>
      <c r="B57" s="114"/>
      <c r="C57" s="114"/>
      <c r="D57" s="115">
        <f t="shared" ref="D57:F57" si="14">IF(D51="","",IF(D52="","",SUM(D55:D56)))</f>
        <v>0.70854166666666663</v>
      </c>
      <c r="E57" s="115">
        <f t="shared" si="14"/>
        <v>0.5697916666666667</v>
      </c>
      <c r="F57" s="115">
        <f t="shared" si="14"/>
        <v>0.73562499999999997</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V21" sqref="V21"/>
    </sheetView>
  </sheetViews>
  <sheetFormatPr baseColWidth="10" defaultColWidth="8.83203125" defaultRowHeight="16" x14ac:dyDescent="0.2"/>
  <sheetData>
    <row r="1" spans="1:37" x14ac:dyDescent="0.2">
      <c r="A1" t="s">
        <v>85</v>
      </c>
      <c r="B1" s="264" t="s">
        <v>87</v>
      </c>
      <c r="C1" s="264" t="s">
        <v>88</v>
      </c>
      <c r="D1" s="264" t="s">
        <v>52</v>
      </c>
      <c r="E1" s="264" t="s">
        <v>17</v>
      </c>
      <c r="F1" s="264" t="s">
        <v>18</v>
      </c>
      <c r="G1" s="264" t="s">
        <v>19</v>
      </c>
      <c r="H1" s="264" t="s">
        <v>20</v>
      </c>
      <c r="I1" s="264" t="s">
        <v>53</v>
      </c>
      <c r="J1" s="264" t="s">
        <v>21</v>
      </c>
      <c r="K1" s="264" t="s">
        <v>22</v>
      </c>
      <c r="L1" s="264" t="s">
        <v>23</v>
      </c>
      <c r="M1" s="264" t="s">
        <v>54</v>
      </c>
      <c r="N1" s="264" t="s">
        <v>24</v>
      </c>
      <c r="O1" s="264" t="s">
        <v>27</v>
      </c>
      <c r="P1" s="264" t="s">
        <v>25</v>
      </c>
      <c r="Q1" s="264" t="s">
        <v>26</v>
      </c>
      <c r="R1" s="264" t="s">
        <v>55</v>
      </c>
      <c r="S1" s="264" t="s">
        <v>29</v>
      </c>
      <c r="T1" s="264" t="s">
        <v>28</v>
      </c>
      <c r="U1" s="264" t="s">
        <v>30</v>
      </c>
      <c r="V1" s="264" t="s">
        <v>56</v>
      </c>
      <c r="W1" s="264" t="s">
        <v>31</v>
      </c>
      <c r="X1" s="264" t="s">
        <v>32</v>
      </c>
      <c r="Y1" s="264" t="s">
        <v>33</v>
      </c>
      <c r="Z1" s="264" t="s">
        <v>121</v>
      </c>
      <c r="AA1" s="264" t="s">
        <v>79</v>
      </c>
      <c r="AB1" s="264" t="s">
        <v>57</v>
      </c>
      <c r="AC1" s="264" t="s">
        <v>58</v>
      </c>
      <c r="AD1" s="264" t="s">
        <v>86</v>
      </c>
      <c r="AE1" s="264" t="s">
        <v>40</v>
      </c>
      <c r="AF1" s="264" t="s">
        <v>39</v>
      </c>
      <c r="AG1" s="264" t="s">
        <v>36</v>
      </c>
      <c r="AH1" s="264" t="s">
        <v>37</v>
      </c>
      <c r="AI1" s="264" t="s">
        <v>38</v>
      </c>
      <c r="AJ1" s="264" t="s">
        <v>84</v>
      </c>
      <c r="AK1" s="264" t="s">
        <v>80</v>
      </c>
    </row>
    <row r="2" spans="1:37" x14ac:dyDescent="0.2">
      <c r="A2" t="str">
        <f>IF(LEN(REPORT!A5)&gt;2,REPORT!A5,"")</f>
        <v>BRISBANE CITY</v>
      </c>
      <c r="B2">
        <f>IFERROR(INDEX(REPORT!$A$2:$BZ$100,MATCH($A2,REPORT!$A$2:$A$100,0),MATCH(B$1,REPORT!$A$2:$BZ$2,0)),"")</f>
        <v>0.67784722222222216</v>
      </c>
      <c r="C2">
        <f>IFERROR(INDEX(REPORT!$A$2:$BZ$100,MATCH($A2,REPORT!$A$2:$A$100,0),MATCH(C$1,REPORT!$A$2:$BZ$2,0)),"")</f>
        <v>0.62638888888888888</v>
      </c>
      <c r="D2">
        <f>IFERROR(INDEX(REPORT!$A$4:$BZ$100,MATCH($A2,REPORT!$A$4:$A$100,0),MATCH(D$1,REPORT!$A$4:$BZ$4,0)),"")</f>
        <v>0.16666666666666666</v>
      </c>
      <c r="E2">
        <f>IFERROR(INDEX(REPORT!$A$4:$BZ$100,MATCH($A2,REPORT!$A$4:$A$100,0),MATCH(E$1,REPORT!$A$4:$BZ$4,0)),"")</f>
        <v>0</v>
      </c>
      <c r="F2">
        <f>IFERROR(INDEX(REPORT!$A$4:$BZ$100,MATCH($A2,REPORT!$A$4:$A$100,0),MATCH(F$1,REPORT!$A$4:$BZ$4,0)),"")</f>
        <v>0.33333333333333331</v>
      </c>
      <c r="G2">
        <f>IFERROR(INDEX(REPORT!$A$4:$BZ$100,MATCH($A2,REPORT!$A$4:$A$100,0),MATCH(G$1,REPORT!$A$4:$BZ$4,0)),"")</f>
        <v>0.33333333333333331</v>
      </c>
      <c r="H2">
        <f>IFERROR(INDEX(REPORT!$A$4:$BZ$100,MATCH($A2,REPORT!$A$4:$A$100,0),MATCH(H$1,REPORT!$A$4:$BZ$4,0)),"")</f>
        <v>0</v>
      </c>
      <c r="I2">
        <f>IFERROR(INDEX(REPORT!$A$4:$BZ$100,MATCH($A2,REPORT!$A$4:$A$100,0),MATCH(I$1,REPORT!$A$4:$BZ$4,0)),"")</f>
        <v>0.77777777777777768</v>
      </c>
      <c r="J2">
        <f>IFERROR(INDEX(REPORT!$A$4:$BZ$100,MATCH($A2,REPORT!$A$4:$A$100,0),MATCH(J$1,REPORT!$A$4:$BZ$4,0)),"")</f>
        <v>0.33333333333333331</v>
      </c>
      <c r="K2">
        <f>IFERROR(INDEX(REPORT!$A$4:$BZ$100,MATCH($A2,REPORT!$A$4:$A$100,0),MATCH(K$1,REPORT!$A$4:$BZ$4,0)),"")</f>
        <v>1</v>
      </c>
      <c r="L2">
        <f>IFERROR(INDEX(REPORT!$A$4:$BZ$100,MATCH($A2,REPORT!$A$4:$A$100,0),MATCH(L$1,REPORT!$A$4:$BZ$4,0)),"")</f>
        <v>1</v>
      </c>
      <c r="M2">
        <f>IFERROR(INDEX(REPORT!$A$4:$BZ$100,MATCH($A2,REPORT!$A$4:$A$100,0),MATCH(M$1,REPORT!$A$4:$BZ$4,0)),"")</f>
        <v>0.75</v>
      </c>
      <c r="N2">
        <f>IFERROR(INDEX(REPORT!$A$4:$BZ$100,MATCH($A2,REPORT!$A$4:$A$100,0),MATCH(N$1,REPORT!$A$4:$BZ$4,0)),"")</f>
        <v>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0.33333333333333331</v>
      </c>
      <c r="S2">
        <f>IFERROR(INDEX(REPORT!$A$4:$BZ$100,MATCH($A2,REPORT!$A$4:$A$100,0),MATCH(S$1,REPORT!$A$4:$BZ$4,0)),"")</f>
        <v>0</v>
      </c>
      <c r="T2">
        <f>IFERROR(INDEX(REPORT!$A$4:$BZ$100,MATCH($A2,REPORT!$A$4:$A$100,0),MATCH(T$1,REPORT!$A$4:$BZ$4,0)),"")</f>
        <v>0</v>
      </c>
      <c r="U2">
        <f>IFERROR(INDEX(REPORT!$A$4:$BZ$100,MATCH($A2,REPORT!$A$4:$A$100,0),MATCH(U$1,REPORT!$A$4:$BZ$4,0)),"")</f>
        <v>1</v>
      </c>
      <c r="V2">
        <f>IFERROR(INDEX(REPORT!$A$4:$BZ$100,MATCH($A2,REPORT!$A$4:$A$100,0),MATCH(V$1,REPORT!$A$4:$BZ$4,0)),"")</f>
        <v>1</v>
      </c>
      <c r="W2">
        <f>IFERROR(INDEX(REPORT!$A$4:$BZ$100,MATCH($A2,REPORT!$A$4:$A$100,0),MATCH(W$1,REPORT!$A$4:$BZ$4,0)),"")</f>
        <v>1</v>
      </c>
      <c r="X2">
        <f>IFERROR(INDEX(REPORT!$A$4:$BZ$100,MATCH($A2,REPORT!$A$4:$A$100,0),MATCH(X$1,REPORT!$A$4:$BZ$4,0)),"")</f>
        <v>1</v>
      </c>
      <c r="Y2">
        <f>IFERROR(INDEX(REPORT!$A$4:$BZ$100,MATCH($A2,REPORT!$A$4:$A$100,0),MATCH(Y$1,REPORT!$A$4:$BZ$4,0)),"")</f>
        <v>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3.4182098765432102E-3</v>
      </c>
      <c r="AF2">
        <f>IFERROR(INDEX(REPORT!$A$4:$BZ$100,MATCH($A2,REPORT!$A$4:$A$100,0),MATCH(AF$1,REPORT!$A$4:$BZ$4,0)),"")</f>
        <v>6</v>
      </c>
      <c r="AG2">
        <f>IFERROR(INDEX(REPORT!$A$4:$BZ$100,MATCH($A2,REPORT!$A$4:$A$100,0),MATCH(AG$1,REPORT!$A$4:$BZ$4,0)),"")</f>
        <v>1</v>
      </c>
      <c r="AH2">
        <f>IFERROR(INDEX(REPORT!$A$4:$BZ$100,MATCH($A2,REPORT!$A$4:$A$100,0),MATCH(AH$1,REPORT!$A$4:$BZ$4,0)),"")</f>
        <v>0.66666666666666663</v>
      </c>
      <c r="AI2">
        <f>IFERROR(INDEX(REPORT!$A$4:$BZ$100,MATCH($A2,REPORT!$A$4:$A$100,0),MATCH(AI$1,REPORT!$A$4:$BZ$4,0)),"")</f>
        <v>1</v>
      </c>
      <c r="AJ2">
        <f>IFERROR(INDEX(REPORT!$A$4:$BZ$100,MATCH($A2,REPORT!$A$4:$A$100,0),MATCH(AJ$1,REPORT!$A$4:$BZ$4,0)),"")</f>
        <v>0.66666666666666663</v>
      </c>
      <c r="AK2">
        <f>IFERROR(INDEX(REPORT!$A$4:$BZ$100,MATCH($A2,REPORT!$A$4:$A$100,0),MATCH(AK$1,REPORT!$A$4:$BZ$4,0)),"")</f>
        <v>3.9621913580246918E-3</v>
      </c>
    </row>
    <row r="3" spans="1:37" x14ac:dyDescent="0.2">
      <c r="A3" t="str">
        <f>IF(LEN(REPORT!A6)&gt;2,REPORT!A6,"")</f>
        <v>CITY OF CASEY</v>
      </c>
      <c r="B3">
        <f>IFERROR(INDEX(REPORT!$A$2:$BZ$100,MATCH($A3,REPORT!$A$2:$A$100,0),MATCH(B$1,REPORT!$A$2:$BZ$2,0)),"")</f>
        <v>0.34992261904761912</v>
      </c>
      <c r="C3">
        <f>IFERROR(INDEX(REPORT!$A$2:$BZ$100,MATCH($A3,REPORT!$A$2:$A$100,0),MATCH(C$1,REPORT!$A$2:$BZ$2,0)),"")</f>
        <v>0.57291666666666674</v>
      </c>
      <c r="D3">
        <f>IFERROR(INDEX(REPORT!$A$4:$BZ$100,MATCH($A3,REPORT!$A$4:$A$100,0),MATCH(D$1,REPORT!$A$4:$BZ$4,0)),"")</f>
        <v>0.375</v>
      </c>
      <c r="E3">
        <f>IFERROR(INDEX(REPORT!$A$4:$BZ$100,MATCH($A3,REPORT!$A$4:$A$100,0),MATCH(E$1,REPORT!$A$4:$BZ$4,0)),"")</f>
        <v>1</v>
      </c>
      <c r="F3">
        <f>IFERROR(INDEX(REPORT!$A$4:$BZ$100,MATCH($A3,REPORT!$A$4:$A$100,0),MATCH(F$1,REPORT!$A$4:$BZ$4,0)),"")</f>
        <v>0.5</v>
      </c>
      <c r="G3">
        <f>IFERROR(INDEX(REPORT!$A$4:$BZ$100,MATCH($A3,REPORT!$A$4:$A$100,0),MATCH(G$1,REPORT!$A$4:$BZ$4,0)),"")</f>
        <v>0</v>
      </c>
      <c r="H3">
        <f>IFERROR(INDEX(REPORT!$A$4:$BZ$100,MATCH($A3,REPORT!$A$4:$A$100,0),MATCH(H$1,REPORT!$A$4:$BZ$4,0)),"")</f>
        <v>0</v>
      </c>
      <c r="I3">
        <f>IFERROR(INDEX(REPORT!$A$4:$BZ$100,MATCH($A3,REPORT!$A$4:$A$100,0),MATCH(I$1,REPORT!$A$4:$BZ$4,0)),"")</f>
        <v>0.33333333333333331</v>
      </c>
      <c r="J3">
        <f>IFERROR(INDEX(REPORT!$A$4:$BZ$100,MATCH($A3,REPORT!$A$4:$A$100,0),MATCH(J$1,REPORT!$A$4:$BZ$4,0)),"")</f>
        <v>0</v>
      </c>
      <c r="K3">
        <f>IFERROR(INDEX(REPORT!$A$4:$BZ$100,MATCH($A3,REPORT!$A$4:$A$100,0),MATCH(K$1,REPORT!$A$4:$BZ$4,0)),"")</f>
        <v>1</v>
      </c>
      <c r="L3">
        <f>IFERROR(INDEX(REPORT!$A$4:$BZ$100,MATCH($A3,REPORT!$A$4:$A$100,0),MATCH(L$1,REPORT!$A$4:$BZ$4,0)),"")</f>
        <v>0</v>
      </c>
      <c r="M3">
        <f>IFERROR(INDEX(REPORT!$A$4:$BZ$100,MATCH($A3,REPORT!$A$4:$A$100,0),MATCH(M$1,REPORT!$A$4:$BZ$4,0)),"")</f>
        <v>0.625</v>
      </c>
      <c r="N3">
        <f>IFERROR(INDEX(REPORT!$A$4:$BZ$100,MATCH($A3,REPORT!$A$4:$A$100,0),MATCH(N$1,REPORT!$A$4:$BZ$4,0)),"")</f>
        <v>0.5</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0.5</v>
      </c>
      <c r="S3">
        <f>IFERROR(INDEX(REPORT!$A$4:$BZ$100,MATCH($A3,REPORT!$A$4:$A$100,0),MATCH(S$1,REPORT!$A$4:$BZ$4,0)),"")</f>
        <v>0.5</v>
      </c>
      <c r="T3">
        <f>IFERROR(INDEX(REPORT!$A$4:$BZ$100,MATCH($A3,REPORT!$A$4:$A$100,0),MATCH(T$1,REPORT!$A$4:$BZ$4,0)),"")</f>
        <v>0</v>
      </c>
      <c r="U3">
        <f>IFERROR(INDEX(REPORT!$A$4:$BZ$100,MATCH($A3,REPORT!$A$4:$A$100,0),MATCH(U$1,REPORT!$A$4:$BZ$4,0)),"")</f>
        <v>1</v>
      </c>
      <c r="V3">
        <f>IFERROR(INDEX(REPORT!$A$4:$BZ$100,MATCH($A3,REPORT!$A$4:$A$100,0),MATCH(V$1,REPORT!$A$4:$BZ$4,0)),"")</f>
        <v>1</v>
      </c>
      <c r="W3">
        <f>IFERROR(INDEX(REPORT!$A$4:$BZ$100,MATCH($A3,REPORT!$A$4:$A$100,0),MATCH(W$1,REPORT!$A$4:$BZ$4,0)),"")</f>
        <v>1</v>
      </c>
      <c r="X3">
        <f>IFERROR(INDEX(REPORT!$A$4:$BZ$100,MATCH($A3,REPORT!$A$4:$A$100,0),MATCH(X$1,REPORT!$A$4:$BZ$4,0)),"")</f>
        <v>1</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0.66666666666666663</v>
      </c>
      <c r="AE3">
        <f>IFERROR(INDEX(REPORT!$A$4:$BZ$100,MATCH($A3,REPORT!$A$4:$A$100,0),MATCH(AE$1,REPORT!$A$4:$BZ$4,0)),"")</f>
        <v>1.3368055555555555E-3</v>
      </c>
      <c r="AF3">
        <f>IFERROR(INDEX(REPORT!$A$4:$BZ$100,MATCH($A3,REPORT!$A$4:$A$100,0),MATCH(AF$1,REPORT!$A$4:$BZ$4,0)),"")</f>
        <v>5</v>
      </c>
      <c r="AG3">
        <f>IFERROR(INDEX(REPORT!$A$4:$BZ$100,MATCH($A3,REPORT!$A$4:$A$100,0),MATCH(AG$1,REPORT!$A$4:$BZ$4,0)),"")</f>
        <v>0.5</v>
      </c>
      <c r="AH3">
        <f>IFERROR(INDEX(REPORT!$A$4:$BZ$100,MATCH($A3,REPORT!$A$4:$A$100,0),MATCH(AH$1,REPORT!$A$4:$BZ$4,0)),"")</f>
        <v>0</v>
      </c>
      <c r="AI3">
        <f>IFERROR(INDEX(REPORT!$A$4:$BZ$100,MATCH($A3,REPORT!$A$4:$A$100,0),MATCH(AI$1,REPORT!$A$4:$BZ$4,0)),"")</f>
        <v>0.5</v>
      </c>
      <c r="AJ3">
        <f>IFERROR(INDEX(REPORT!$A$4:$BZ$100,MATCH($A3,REPORT!$A$4:$A$100,0),MATCH(AJ$1,REPORT!$A$4:$BZ$4,0)),"")</f>
        <v>1</v>
      </c>
      <c r="AK3">
        <f>IFERROR(INDEX(REPORT!$A$4:$BZ$100,MATCH($A3,REPORT!$A$4:$A$100,0),MATCH(AK$1,REPORT!$A$4:$BZ$4,0)),"")</f>
        <v>6.7573302469135805E-3</v>
      </c>
    </row>
    <row r="4" spans="1:37" x14ac:dyDescent="0.2">
      <c r="A4" t="str">
        <f>IF(LEN(REPORT!A7)&gt;2,REPORT!A7,"")</f>
        <v>FRANKSTON CITY</v>
      </c>
      <c r="B4">
        <f>IFERROR(INDEX(REPORT!$A$2:$BZ$100,MATCH($A4,REPORT!$A$2:$A$100,0),MATCH(B$1,REPORT!$A$2:$BZ$2,0)),"")</f>
        <v>0.56843055555555555</v>
      </c>
      <c r="C4">
        <f>IFERROR(INDEX(REPORT!$A$2:$BZ$100,MATCH($A4,REPORT!$A$2:$A$100,0),MATCH(C$1,REPORT!$A$2:$BZ$2,0)),"")</f>
        <v>0.52638888888888891</v>
      </c>
      <c r="D4">
        <f>IFERROR(INDEX(REPORT!$A$4:$BZ$100,MATCH($A4,REPORT!$A$4:$A$100,0),MATCH(D$1,REPORT!$A$4:$BZ$4,0)),"")</f>
        <v>0.25</v>
      </c>
      <c r="E4">
        <f>IFERROR(INDEX(REPORT!$A$4:$BZ$100,MATCH($A4,REPORT!$A$4:$A$100,0),MATCH(E$1,REPORT!$A$4:$BZ$4,0)),"")</f>
        <v>1</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0.44444444444444442</v>
      </c>
      <c r="J4">
        <f>IFERROR(INDEX(REPORT!$A$4:$BZ$100,MATCH($A4,REPORT!$A$4:$A$100,0),MATCH(J$1,REPORT!$A$4:$BZ$4,0)),"")</f>
        <v>0</v>
      </c>
      <c r="K4">
        <f>IFERROR(INDEX(REPORT!$A$4:$BZ$100,MATCH($A4,REPORT!$A$4:$A$100,0),MATCH(K$1,REPORT!$A$4:$BZ$4,0)),"")</f>
        <v>1</v>
      </c>
      <c r="L4">
        <f>IFERROR(INDEX(REPORT!$A$4:$BZ$100,MATCH($A4,REPORT!$A$4:$A$100,0),MATCH(L$1,REPORT!$A$4:$BZ$4,0)),"")</f>
        <v>0.33333333333333331</v>
      </c>
      <c r="M4">
        <f>IFERROR(INDEX(REPORT!$A$4:$BZ$100,MATCH($A4,REPORT!$A$4:$A$100,0),MATCH(M$1,REPORT!$A$4:$BZ$4,0)),"")</f>
        <v>0.75</v>
      </c>
      <c r="N4">
        <f>IFERROR(INDEX(REPORT!$A$4:$BZ$100,MATCH($A4,REPORT!$A$4:$A$100,0),MATCH(N$1,REPORT!$A$4:$BZ$4,0)),"")</f>
        <v>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0.33333333333333331</v>
      </c>
      <c r="S4">
        <f>IFERROR(INDEX(REPORT!$A$4:$BZ$100,MATCH($A4,REPORT!$A$4:$A$100,0),MATCH(S$1,REPORT!$A$4:$BZ$4,0)),"")</f>
        <v>0</v>
      </c>
      <c r="T4">
        <f>IFERROR(INDEX(REPORT!$A$4:$BZ$100,MATCH($A4,REPORT!$A$4:$A$100,0),MATCH(T$1,REPORT!$A$4:$BZ$4,0)),"")</f>
        <v>0</v>
      </c>
      <c r="U4">
        <f>IFERROR(INDEX(REPORT!$A$4:$BZ$100,MATCH($A4,REPORT!$A$4:$A$100,0),MATCH(U$1,REPORT!$A$4:$BZ$4,0)),"")</f>
        <v>1</v>
      </c>
      <c r="V4">
        <f>IFERROR(INDEX(REPORT!$A$4:$BZ$100,MATCH($A4,REPORT!$A$4:$A$100,0),MATCH(V$1,REPORT!$A$4:$BZ$4,0)),"")</f>
        <v>0.91666666666666663</v>
      </c>
      <c r="W4">
        <f>IFERROR(INDEX(REPORT!$A$4:$BZ$100,MATCH($A4,REPORT!$A$4:$A$100,0),MATCH(W$1,REPORT!$A$4:$BZ$4,0)),"")</f>
        <v>1</v>
      </c>
      <c r="X4">
        <f>IFERROR(INDEX(REPORT!$A$4:$BZ$100,MATCH($A4,REPORT!$A$4:$A$100,0),MATCH(X$1,REPORT!$A$4:$BZ$4,0)),"")</f>
        <v>1</v>
      </c>
      <c r="Y4">
        <f>IFERROR(INDEX(REPORT!$A$4:$BZ$100,MATCH($A4,REPORT!$A$4:$A$100,0),MATCH(Y$1,REPORT!$A$4:$BZ$4,0)),"")</f>
        <v>0.66666666666666663</v>
      </c>
      <c r="Z4">
        <f>IFERROR(INDEX(REPORT!$A$4:$BZ$100,MATCH($A4,REPORT!$A$4:$A$100,0),MATCH(Z$1,REPORT!$A$4:$BZ$4,0)),"")</f>
        <v>1</v>
      </c>
      <c r="AA4">
        <f>IFERROR(INDEX(REPORT!$A$4:$BZ$100,MATCH($A4,REPORT!$A$4:$A$100,0),MATCH(AA$1,REPORT!$A$4:$BZ$4,0)),"")</f>
        <v>0.33333333333333331</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2.0023148148148148E-3</v>
      </c>
      <c r="AF4">
        <f>IFERROR(INDEX(REPORT!$A$4:$BZ$100,MATCH($A4,REPORT!$A$4:$A$100,0),MATCH(AF$1,REPORT!$A$4:$BZ$4,0)),"")</f>
        <v>5</v>
      </c>
      <c r="AG4">
        <f>IFERROR(INDEX(REPORT!$A$4:$BZ$100,MATCH($A4,REPORT!$A$4:$A$100,0),MATCH(AG$1,REPORT!$A$4:$BZ$4,0)),"")</f>
        <v>1</v>
      </c>
      <c r="AH4">
        <f>IFERROR(INDEX(REPORT!$A$4:$BZ$100,MATCH($A4,REPORT!$A$4:$A$100,0),MATCH(AH$1,REPORT!$A$4:$BZ$4,0)),"")</f>
        <v>0.66666666666666663</v>
      </c>
      <c r="AI4">
        <f>IFERROR(INDEX(REPORT!$A$4:$BZ$100,MATCH($A4,REPORT!$A$4:$A$100,0),MATCH(AI$1,REPORT!$A$4:$BZ$4,0)),"")</f>
        <v>1</v>
      </c>
      <c r="AJ4">
        <f>IFERROR(INDEX(REPORT!$A$4:$BZ$100,MATCH($A4,REPORT!$A$4:$A$100,0),MATCH(AJ$1,REPORT!$A$4:$BZ$4,0)),"")</f>
        <v>0.66666666666666663</v>
      </c>
      <c r="AK4">
        <f>IFERROR(INDEX(REPORT!$A$4:$BZ$100,MATCH($A4,REPORT!$A$4:$A$100,0),MATCH(AK$1,REPORT!$A$4:$BZ$4,0)),"")</f>
        <v>5.7677469135802469E-3</v>
      </c>
    </row>
    <row r="5" spans="1:37" x14ac:dyDescent="0.2">
      <c r="A5" t="str">
        <f>IF(LEN(REPORT!A8)&gt;2,REPORT!A8,"")</f>
        <v>CITY OF LAUNCESTON</v>
      </c>
      <c r="B5">
        <f>IFERROR(INDEX(REPORT!$A$2:$BZ$100,MATCH($A5,REPORT!$A$2:$A$100,0),MATCH(B$1,REPORT!$A$2:$BZ$2,0)),"")</f>
        <v>0.34454166666666663</v>
      </c>
      <c r="C5">
        <f>IFERROR(INDEX(REPORT!$A$2:$BZ$100,MATCH($A5,REPORT!$A$2:$A$100,0),MATCH(C$1,REPORT!$A$2:$BZ$2,0)),"")</f>
        <v>0.46666666666666667</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0.5</v>
      </c>
      <c r="N5">
        <f>IFERROR(INDEX(REPORT!$A$4:$BZ$100,MATCH($A5,REPORT!$A$4:$A$100,0),MATCH(N$1,REPORT!$A$4:$BZ$4,0)),"")</f>
        <v>0.5</v>
      </c>
      <c r="O5">
        <f>IFERROR(INDEX(REPORT!$A$4:$BZ$100,MATCH($A5,REPORT!$A$4:$A$100,0),MATCH(O$1,REPORT!$A$4:$BZ$4,0)),"")</f>
        <v>0</v>
      </c>
      <c r="P5">
        <f>IFERROR(INDEX(REPORT!$A$4:$BZ$100,MATCH($A5,REPORT!$A$4:$A$100,0),MATCH(P$1,REPORT!$A$4:$BZ$4,0)),"")</f>
        <v>0.5</v>
      </c>
      <c r="Q5">
        <f>IFERROR(INDEX(REPORT!$A$4:$BZ$100,MATCH($A5,REPORT!$A$4:$A$100,0),MATCH(Q$1,REPORT!$A$4:$BZ$4,0)),"")</f>
        <v>1</v>
      </c>
      <c r="R5">
        <f>IFERROR(INDEX(REPORT!$A$4:$BZ$100,MATCH($A5,REPORT!$A$4:$A$100,0),MATCH(R$1,REPORT!$A$4:$BZ$4,0)),"")</f>
        <v>0.33333333333333331</v>
      </c>
      <c r="S5">
        <f>IFERROR(INDEX(REPORT!$A$4:$BZ$100,MATCH($A5,REPORT!$A$4:$A$100,0),MATCH(S$1,REPORT!$A$4:$BZ$4,0)),"")</f>
        <v>0</v>
      </c>
      <c r="T5">
        <f>IFERROR(INDEX(REPORT!$A$4:$BZ$100,MATCH($A5,REPORT!$A$4:$A$100,0),MATCH(T$1,REPORT!$A$4:$BZ$4,0)),"")</f>
        <v>0</v>
      </c>
      <c r="U5">
        <f>IFERROR(INDEX(REPORT!$A$4:$BZ$100,MATCH($A5,REPORT!$A$4:$A$100,0),MATCH(U$1,REPORT!$A$4:$BZ$4,0)),"")</f>
        <v>1</v>
      </c>
      <c r="V5">
        <f>IFERROR(INDEX(REPORT!$A$4:$BZ$100,MATCH($A5,REPORT!$A$4:$A$100,0),MATCH(V$1,REPORT!$A$4:$BZ$4,0)),"")</f>
        <v>0.875</v>
      </c>
      <c r="W5">
        <f>IFERROR(INDEX(REPORT!$A$4:$BZ$100,MATCH($A5,REPORT!$A$4:$A$100,0),MATCH(W$1,REPORT!$A$4:$BZ$4,0)),"")</f>
        <v>1</v>
      </c>
      <c r="X5">
        <f>IFERROR(INDEX(REPORT!$A$4:$BZ$100,MATCH($A5,REPORT!$A$4:$A$100,0),MATCH(X$1,REPORT!$A$4:$BZ$4,0)),"")</f>
        <v>1</v>
      </c>
      <c r="Y5">
        <f>IFERROR(INDEX(REPORT!$A$4:$BZ$100,MATCH($A5,REPORT!$A$4:$A$100,0),MATCH(Y$1,REPORT!$A$4:$BZ$4,0)),"")</f>
        <v>0.5</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0.33333333333333331</v>
      </c>
      <c r="AD5">
        <f>IFERROR(INDEX(REPORT!$A$4:$BZ$100,MATCH($A5,REPORT!$A$4:$A$100,0),MATCH(AD$1,REPORT!$A$4:$BZ$4,0)),"")</f>
        <v>0.66666666666666663</v>
      </c>
      <c r="AE5">
        <f>IFERROR(INDEX(REPORT!$A$4:$BZ$100,MATCH($A5,REPORT!$A$4:$A$100,0),MATCH(AE$1,REPORT!$A$4:$BZ$4,0)),"")</f>
        <v>1.3252314814814815E-3</v>
      </c>
      <c r="AF5">
        <f>IFERROR(INDEX(REPORT!$A$4:$BZ$100,MATCH($A5,REPORT!$A$4:$A$100,0),MATCH(AF$1,REPORT!$A$4:$BZ$4,0)),"")</f>
        <v>4</v>
      </c>
      <c r="AG5">
        <f>IFERROR(INDEX(REPORT!$A$4:$BZ$100,MATCH($A5,REPORT!$A$4:$A$100,0),MATCH(AG$1,REPORT!$A$4:$BZ$4,0)),"")</f>
        <v>0.5</v>
      </c>
      <c r="AH5">
        <f>IFERROR(INDEX(REPORT!$A$4:$BZ$100,MATCH($A5,REPORT!$A$4:$A$100,0),MATCH(AH$1,REPORT!$A$4:$BZ$4,0)),"")</f>
        <v>0.5</v>
      </c>
      <c r="AI5">
        <f>IFERROR(INDEX(REPORT!$A$4:$BZ$100,MATCH($A5,REPORT!$A$4:$A$100,0),MATCH(AI$1,REPORT!$A$4:$BZ$4,0)),"")</f>
        <v>0.5</v>
      </c>
      <c r="AJ5">
        <f>IFERROR(INDEX(REPORT!$A$4:$BZ$100,MATCH($A5,REPORT!$A$4:$A$100,0),MATCH(AJ$1,REPORT!$A$4:$BZ$4,0)),"")</f>
        <v>0</v>
      </c>
      <c r="AK5">
        <f>IFERROR(INDEX(REPORT!$A$4:$BZ$100,MATCH($A5,REPORT!$A$4:$A$100,0),MATCH(AK$1,REPORT!$A$4:$BZ$4,0)),"")</f>
        <v>2.9571759259259256E-3</v>
      </c>
    </row>
    <row r="6" spans="1:37" x14ac:dyDescent="0.2">
      <c r="A6" t="str">
        <f>IF(LEN(REPORT!A9)&gt;2,REPORT!A9,"")</f>
        <v>MONASH CITY</v>
      </c>
      <c r="B6">
        <f>IFERROR(INDEX(REPORT!$A$2:$BZ$100,MATCH($A6,REPORT!$A$2:$A$100,0),MATCH(B$1,REPORT!$A$2:$BZ$2,0)),"")</f>
        <v>0.56333333333333324</v>
      </c>
      <c r="C6">
        <f>IFERROR(INDEX(REPORT!$A$2:$BZ$100,MATCH($A6,REPORT!$A$2:$A$100,0),MATCH(C$1,REPORT!$A$2:$BZ$2,0)),"")</f>
        <v>0.43333333333333329</v>
      </c>
      <c r="D6">
        <f>IFERROR(INDEX(REPORT!$A$4:$BZ$100,MATCH($A6,REPORT!$A$4:$A$100,0),MATCH(D$1,REPORT!$A$4:$BZ$4,0)),"")</f>
        <v>0</v>
      </c>
      <c r="E6">
        <f>IFERROR(INDEX(REPORT!$A$4:$BZ$100,MATCH($A6,REPORT!$A$4:$A$100,0),MATCH(E$1,REPORT!$A$4:$BZ$4,0)),"")</f>
        <v>0</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0.66666666666666663</v>
      </c>
      <c r="N6">
        <f>IFERROR(INDEX(REPORT!$A$4:$BZ$100,MATCH($A6,REPORT!$A$4:$A$100,0),MATCH(N$1,REPORT!$A$4:$BZ$4,0)),"")</f>
        <v>0.66666666666666663</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0.33333333333333331</v>
      </c>
      <c r="S6">
        <f>IFERROR(INDEX(REPORT!$A$4:$BZ$100,MATCH($A6,REPORT!$A$4:$A$100,0),MATCH(S$1,REPORT!$A$4:$BZ$4,0)),"")</f>
        <v>0</v>
      </c>
      <c r="T6">
        <f>IFERROR(INDEX(REPORT!$A$4:$BZ$100,MATCH($A6,REPORT!$A$4:$A$100,0),MATCH(T$1,REPORT!$A$4:$BZ$4,0)),"")</f>
        <v>0</v>
      </c>
      <c r="U6">
        <f>IFERROR(INDEX(REPORT!$A$4:$BZ$100,MATCH($A6,REPORT!$A$4:$A$100,0),MATCH(U$1,REPORT!$A$4:$BZ$4,0)),"")</f>
        <v>1</v>
      </c>
      <c r="V6">
        <f>IFERROR(INDEX(REPORT!$A$4:$BZ$100,MATCH($A6,REPORT!$A$4:$A$100,0),MATCH(V$1,REPORT!$A$4:$BZ$4,0)),"")</f>
        <v>0.75</v>
      </c>
      <c r="W6">
        <f>IFERROR(INDEX(REPORT!$A$4:$BZ$100,MATCH($A6,REPORT!$A$4:$A$100,0),MATCH(W$1,REPORT!$A$4:$BZ$4,0)),"")</f>
        <v>1</v>
      </c>
      <c r="X6">
        <f>IFERROR(INDEX(REPORT!$A$4:$BZ$100,MATCH($A6,REPORT!$A$4:$A$100,0),MATCH(X$1,REPORT!$A$4:$BZ$4,0)),"")</f>
        <v>0.66666666666666663</v>
      </c>
      <c r="Y6">
        <f>IFERROR(INDEX(REPORT!$A$4:$BZ$100,MATCH($A6,REPORT!$A$4:$A$100,0),MATCH(Y$1,REPORT!$A$4:$BZ$4,0)),"")</f>
        <v>0.33333333333333331</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1.4390432098765431E-3</v>
      </c>
      <c r="AF6">
        <f>IFERROR(INDEX(REPORT!$A$4:$BZ$100,MATCH($A6,REPORT!$A$4:$A$100,0),MATCH(AF$1,REPORT!$A$4:$BZ$4,0)),"")</f>
        <v>4.333333333333333</v>
      </c>
      <c r="AG6">
        <f>IFERROR(INDEX(REPORT!$A$4:$BZ$100,MATCH($A6,REPORT!$A$4:$A$100,0),MATCH(AG$1,REPORT!$A$4:$BZ$4,0)),"")</f>
        <v>0.66666666666666663</v>
      </c>
      <c r="AH6">
        <f>IFERROR(INDEX(REPORT!$A$4:$BZ$100,MATCH($A6,REPORT!$A$4:$A$100,0),MATCH(AH$1,REPORT!$A$4:$BZ$4,0)),"")</f>
        <v>0.33333333333333331</v>
      </c>
      <c r="AI6">
        <f>IFERROR(INDEX(REPORT!$A$4:$BZ$100,MATCH($A6,REPORT!$A$4:$A$100,0),MATCH(AI$1,REPORT!$A$4:$BZ$4,0)),"")</f>
        <v>0.66666666666666663</v>
      </c>
      <c r="AJ6">
        <f>IFERROR(INDEX(REPORT!$A$4:$BZ$100,MATCH($A6,REPORT!$A$4:$A$100,0),MATCH(AJ$1,REPORT!$A$4:$BZ$4,0)),"")</f>
        <v>0.66666666666666663</v>
      </c>
      <c r="AK6">
        <f>IFERROR(INDEX(REPORT!$A$4:$BZ$100,MATCH($A6,REPORT!$A$4:$A$100,0),MATCH(AK$1,REPORT!$A$4:$BZ$4,0)),"")</f>
        <v>2.0833333333333333E-3</v>
      </c>
    </row>
    <row r="7" spans="1:37" x14ac:dyDescent="0.2">
      <c r="A7" t="str">
        <f>IF(LEN(REPORT!A10)&gt;2,REPORT!A10,"")</f>
        <v>CITY OF ONKAPARINGA</v>
      </c>
      <c r="B7">
        <f>IFERROR(INDEX(REPORT!$A$2:$BZ$100,MATCH($A7,REPORT!$A$2:$A$100,0),MATCH(B$1,REPORT!$A$2:$BZ$2,0)),"")</f>
        <v>0.64687499999999998</v>
      </c>
      <c r="C7">
        <f>IFERROR(INDEX(REPORT!$A$2:$BZ$100,MATCH($A7,REPORT!$A$2:$A$100,0),MATCH(C$1,REPORT!$A$2:$BZ$2,0)),"")</f>
        <v>0.6</v>
      </c>
      <c r="D7">
        <f>IFERROR(INDEX(REPORT!$A$4:$BZ$100,MATCH($A7,REPORT!$A$4:$A$100,0),MATCH(D$1,REPORT!$A$4:$BZ$4,0)),"")</f>
        <v>8.3333333333333329E-2</v>
      </c>
      <c r="E7">
        <f>IFERROR(INDEX(REPORT!$A$4:$BZ$100,MATCH($A7,REPORT!$A$4:$A$100,0),MATCH(E$1,REPORT!$A$4:$BZ$4,0)),"")</f>
        <v>0</v>
      </c>
      <c r="F7">
        <f>IFERROR(INDEX(REPORT!$A$4:$BZ$100,MATCH($A7,REPORT!$A$4:$A$100,0),MATCH(F$1,REPORT!$A$4:$BZ$4,0)),"")</f>
        <v>0.33333333333333331</v>
      </c>
      <c r="G7">
        <f>IFERROR(INDEX(REPORT!$A$4:$BZ$100,MATCH($A7,REPORT!$A$4:$A$100,0),MATCH(G$1,REPORT!$A$4:$BZ$4,0)),"")</f>
        <v>0</v>
      </c>
      <c r="H7">
        <f>IFERROR(INDEX(REPORT!$A$4:$BZ$100,MATCH($A7,REPORT!$A$4:$A$100,0),MATCH(H$1,REPORT!$A$4:$BZ$4,0)),"")</f>
        <v>0</v>
      </c>
      <c r="I7">
        <f>IFERROR(INDEX(REPORT!$A$4:$BZ$100,MATCH($A7,REPORT!$A$4:$A$100,0),MATCH(I$1,REPORT!$A$4:$BZ$4,0)),"")</f>
        <v>0.66666666666666663</v>
      </c>
      <c r="J7">
        <f>IFERROR(INDEX(REPORT!$A$4:$BZ$100,MATCH($A7,REPORT!$A$4:$A$100,0),MATCH(J$1,REPORT!$A$4:$BZ$4,0)),"")</f>
        <v>0.33333333333333331</v>
      </c>
      <c r="K7">
        <f>IFERROR(INDEX(REPORT!$A$4:$BZ$100,MATCH($A7,REPORT!$A$4:$A$100,0),MATCH(K$1,REPORT!$A$4:$BZ$4,0)),"")</f>
        <v>1</v>
      </c>
      <c r="L7">
        <f>IFERROR(INDEX(REPORT!$A$4:$BZ$100,MATCH($A7,REPORT!$A$4:$A$100,0),MATCH(L$1,REPORT!$A$4:$BZ$4,0)),"")</f>
        <v>0.66666666666666663</v>
      </c>
      <c r="M7">
        <f>IFERROR(INDEX(REPORT!$A$4:$BZ$100,MATCH($A7,REPORT!$A$4:$A$100,0),MATCH(M$1,REPORT!$A$4:$BZ$4,0)),"")</f>
        <v>0.66666666666666663</v>
      </c>
      <c r="N7">
        <f>IFERROR(INDEX(REPORT!$A$4:$BZ$100,MATCH($A7,REPORT!$A$4:$A$100,0),MATCH(N$1,REPORT!$A$4:$BZ$4,0)),"")</f>
        <v>0.66666666666666663</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0.55555555555555547</v>
      </c>
      <c r="S7">
        <f>IFERROR(INDEX(REPORT!$A$4:$BZ$100,MATCH($A7,REPORT!$A$4:$A$100,0),MATCH(S$1,REPORT!$A$4:$BZ$4,0)),"")</f>
        <v>0.66666666666666663</v>
      </c>
      <c r="T7">
        <f>IFERROR(INDEX(REPORT!$A$4:$BZ$100,MATCH($A7,REPORT!$A$4:$A$100,0),MATCH(T$1,REPORT!$A$4:$BZ$4,0)),"")</f>
        <v>0</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1.9058641975308644E-3</v>
      </c>
      <c r="AF7">
        <f>IFERROR(INDEX(REPORT!$A$4:$BZ$100,MATCH($A7,REPORT!$A$4:$A$100,0),MATCH(AF$1,REPORT!$A$4:$BZ$4,0)),"")</f>
        <v>5.666666666666667</v>
      </c>
      <c r="AG7">
        <f>IFERROR(INDEX(REPORT!$A$4:$BZ$100,MATCH($A7,REPORT!$A$4:$A$100,0),MATCH(AG$1,REPORT!$A$4:$BZ$4,0)),"")</f>
        <v>0.66666666666666663</v>
      </c>
      <c r="AH7">
        <f>IFERROR(INDEX(REPORT!$A$4:$BZ$100,MATCH($A7,REPORT!$A$4:$A$100,0),MATCH(AH$1,REPORT!$A$4:$BZ$4,0)),"")</f>
        <v>0.66666666666666663</v>
      </c>
      <c r="AI7">
        <f>IFERROR(INDEX(REPORT!$A$4:$BZ$100,MATCH($A7,REPORT!$A$4:$A$100,0),MATCH(AI$1,REPORT!$A$4:$BZ$4,0)),"")</f>
        <v>0.66666666666666663</v>
      </c>
      <c r="AJ7">
        <f>IFERROR(INDEX(REPORT!$A$4:$BZ$100,MATCH($A7,REPORT!$A$4:$A$100,0),MATCH(AJ$1,REPORT!$A$4:$BZ$4,0)),"")</f>
        <v>1</v>
      </c>
      <c r="AK7">
        <f>IFERROR(INDEX(REPORT!$A$4:$BZ$100,MATCH($A7,REPORT!$A$4:$A$100,0),MATCH(AK$1,REPORT!$A$4:$BZ$4,0)),"")</f>
        <v>4.5563271604938281E-3</v>
      </c>
    </row>
    <row r="8" spans="1:37" x14ac:dyDescent="0.2">
      <c r="A8" t="str">
        <f>IF(LEN(REPORT!A11)&gt;2,REPORT!A11,"")</f>
        <v>CITY OF STIRLING</v>
      </c>
      <c r="B8">
        <f>IFERROR(INDEX(REPORT!$A$2:$BZ$100,MATCH($A8,REPORT!$A$2:$A$100,0),MATCH(B$1,REPORT!$A$2:$BZ$2,0)),"")</f>
        <v>0.67131944444444447</v>
      </c>
      <c r="C8">
        <f>IFERROR(INDEX(REPORT!$A$2:$BZ$100,MATCH($A8,REPORT!$A$2:$A$100,0),MATCH(C$1,REPORT!$A$2:$BZ$2,0)),"")</f>
        <v>0.62777777777777788</v>
      </c>
      <c r="D8">
        <f>IFERROR(INDEX(REPORT!$A$4:$BZ$100,MATCH($A8,REPORT!$A$4:$A$100,0),MATCH(D$1,REPORT!$A$4:$BZ$4,0)),"")</f>
        <v>0.33333333333333331</v>
      </c>
      <c r="E8">
        <f>IFERROR(INDEX(REPORT!$A$4:$BZ$100,MATCH($A8,REPORT!$A$4:$A$100,0),MATCH(E$1,REPORT!$A$4:$BZ$4,0)),"")</f>
        <v>1</v>
      </c>
      <c r="F8">
        <f>IFERROR(INDEX(REPORT!$A$4:$BZ$100,MATCH($A8,REPORT!$A$4:$A$100,0),MATCH(F$1,REPORT!$A$4:$BZ$4,0)),"")</f>
        <v>0.33333333333333331</v>
      </c>
      <c r="G8">
        <f>IFERROR(INDEX(REPORT!$A$4:$BZ$100,MATCH($A8,REPORT!$A$4:$A$100,0),MATCH(G$1,REPORT!$A$4:$BZ$4,0)),"")</f>
        <v>0</v>
      </c>
      <c r="H8">
        <f>IFERROR(INDEX(REPORT!$A$4:$BZ$100,MATCH($A8,REPORT!$A$4:$A$100,0),MATCH(H$1,REPORT!$A$4:$BZ$4,0)),"")</f>
        <v>0</v>
      </c>
      <c r="I8">
        <f>IFERROR(INDEX(REPORT!$A$4:$BZ$100,MATCH($A8,REPORT!$A$4:$A$100,0),MATCH(I$1,REPORT!$A$4:$BZ$4,0)),"")</f>
        <v>0.55555555555555547</v>
      </c>
      <c r="J8">
        <f>IFERROR(INDEX(REPORT!$A$4:$BZ$100,MATCH($A8,REPORT!$A$4:$A$100,0),MATCH(J$1,REPORT!$A$4:$BZ$4,0)),"")</f>
        <v>0.33333333333333331</v>
      </c>
      <c r="K8">
        <f>IFERROR(INDEX(REPORT!$A$4:$BZ$100,MATCH($A8,REPORT!$A$4:$A$100,0),MATCH(K$1,REPORT!$A$4:$BZ$4,0)),"")</f>
        <v>1</v>
      </c>
      <c r="L8">
        <f>IFERROR(INDEX(REPORT!$A$4:$BZ$100,MATCH($A8,REPORT!$A$4:$A$100,0),MATCH(L$1,REPORT!$A$4:$BZ$4,0)),"")</f>
        <v>0.33333333333333331</v>
      </c>
      <c r="M8">
        <f>IFERROR(INDEX(REPORT!$A$4:$BZ$100,MATCH($A8,REPORT!$A$4:$A$100,0),MATCH(M$1,REPORT!$A$4:$BZ$4,0)),"")</f>
        <v>0.66666666666666663</v>
      </c>
      <c r="N8">
        <f>IFERROR(INDEX(REPORT!$A$4:$BZ$100,MATCH($A8,REPORT!$A$4:$A$100,0),MATCH(N$1,REPORT!$A$4:$BZ$4,0)),"")</f>
        <v>0.66666666666666663</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0.66666666666666663</v>
      </c>
      <c r="S8">
        <f>IFERROR(INDEX(REPORT!$A$4:$BZ$100,MATCH($A8,REPORT!$A$4:$A$100,0),MATCH(S$1,REPORT!$A$4:$BZ$4,0)),"")</f>
        <v>0.33333333333333331</v>
      </c>
      <c r="T8">
        <f>IFERROR(INDEX(REPORT!$A$4:$BZ$100,MATCH($A8,REPORT!$A$4:$A$100,0),MATCH(T$1,REPORT!$A$4:$BZ$4,0)),"")</f>
        <v>0.66666666666666663</v>
      </c>
      <c r="U8">
        <f>IFERROR(INDEX(REPORT!$A$4:$BZ$100,MATCH($A8,REPORT!$A$4:$A$100,0),MATCH(U$1,REPORT!$A$4:$BZ$4,0)),"")</f>
        <v>1</v>
      </c>
      <c r="V8">
        <f>IFERROR(INDEX(REPORT!$A$4:$BZ$100,MATCH($A8,REPORT!$A$4:$A$100,0),MATCH(V$1,REPORT!$A$4:$BZ$4,0)),"")</f>
        <v>0.91666666666666663</v>
      </c>
      <c r="W8">
        <f>IFERROR(INDEX(REPORT!$A$4:$BZ$100,MATCH($A8,REPORT!$A$4:$A$100,0),MATCH(W$1,REPORT!$A$4:$BZ$4,0)),"")</f>
        <v>1</v>
      </c>
      <c r="X8">
        <f>IFERROR(INDEX(REPORT!$A$4:$BZ$100,MATCH($A8,REPORT!$A$4:$A$100,0),MATCH(X$1,REPORT!$A$4:$BZ$4,0)),"")</f>
        <v>0.66666666666666663</v>
      </c>
      <c r="Y8">
        <f>IFERROR(INDEX(REPORT!$A$4:$BZ$100,MATCH($A8,REPORT!$A$4:$A$100,0),MATCH(Y$1,REPORT!$A$4:$BZ$4,0)),"")</f>
        <v>1</v>
      </c>
      <c r="Z8">
        <f>IFERROR(INDEX(REPORT!$A$4:$BZ$100,MATCH($A8,REPORT!$A$4:$A$100,0),MATCH(Z$1,REPORT!$A$4:$BZ$4,0)),"")</f>
        <v>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2.6890432098765431E-3</v>
      </c>
      <c r="AF8">
        <f>IFERROR(INDEX(REPORT!$A$4:$BZ$100,MATCH($A8,REPORT!$A$4:$A$100,0),MATCH(AF$1,REPORT!$A$4:$BZ$4,0)),"")</f>
        <v>6</v>
      </c>
      <c r="AG8">
        <f>IFERROR(INDEX(REPORT!$A$4:$BZ$100,MATCH($A8,REPORT!$A$4:$A$100,0),MATCH(AG$1,REPORT!$A$4:$BZ$4,0)),"")</f>
        <v>0.66666666666666663</v>
      </c>
      <c r="AH8">
        <f>IFERROR(INDEX(REPORT!$A$4:$BZ$100,MATCH($A8,REPORT!$A$4:$A$100,0),MATCH(AH$1,REPORT!$A$4:$BZ$4,0)),"")</f>
        <v>0.66666666666666663</v>
      </c>
      <c r="AI8">
        <f>IFERROR(INDEX(REPORT!$A$4:$BZ$100,MATCH($A8,REPORT!$A$4:$A$100,0),MATCH(AI$1,REPORT!$A$4:$BZ$4,0)),"")</f>
        <v>1</v>
      </c>
      <c r="AJ8">
        <f>IFERROR(INDEX(REPORT!$A$4:$BZ$100,MATCH($A8,REPORT!$A$4:$A$100,0),MATCH(AJ$1,REPORT!$A$4:$BZ$4,0)),"")</f>
        <v>1</v>
      </c>
      <c r="AK8">
        <f>IFERROR(INDEX(REPORT!$A$4:$BZ$100,MATCH($A8,REPORT!$A$4:$A$100,0),MATCH(AK$1,REPORT!$A$4:$BZ$4,0)),"")</f>
        <v>3.6265432098765431E-3</v>
      </c>
    </row>
    <row r="9" spans="1:37" x14ac:dyDescent="0.2">
      <c r="A9" t="str">
        <f>IF(LEN(REPORT!A12)&gt;2,REPORT!A12,"")</f>
        <v>COUNCILS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COUNCILS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COUNCILS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COUNCILS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COUNCILS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COUNCILS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COUNCILS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COUNCILS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COUNCILS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COUNCILS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COUNCILS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COUNCILS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COUNCILS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COUNCILS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COUNCILS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COUNCILS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COUNCILS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COUNCILS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COUNCILS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COUNCILS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COUNCILS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COUNCILS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COUNCILS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0.54603854875283442</v>
      </c>
      <c r="C32">
        <f>IFERROR(INDEX(REPORT!$A$2:$BZ$100,MATCH($A32,REPORT!$A$2:$A$100,0),MATCH(C$1,REPORT!$A$2:$BZ$2,0)),"")</f>
        <v>0.55049603174603179</v>
      </c>
      <c r="D32">
        <f>IFERROR(INDEX(REPORT!$A$4:$BZ$100,MATCH($A32,REPORT!$A$4:$A$100,0),MATCH(D$1,REPORT!$A$4:$BZ$4,0)),"")</f>
        <v>0.20833333333333329</v>
      </c>
      <c r="E32">
        <f>IFERROR(INDEX(REPORT!$A$4:$BZ$100,MATCH($A32,REPORT!$A$4:$A$100,0),MATCH(E$1,REPORT!$A$4:$BZ$4,0)),"")</f>
        <v>0.5714285714285714</v>
      </c>
      <c r="F32">
        <f>IFERROR(INDEX(REPORT!$A$4:$BZ$100,MATCH($A32,REPORT!$A$4:$A$100,0),MATCH(F$1,REPORT!$A$4:$BZ$4,0)),"")</f>
        <v>0.21428571428571425</v>
      </c>
      <c r="G32">
        <f>IFERROR(INDEX(REPORT!$A$4:$BZ$100,MATCH($A32,REPORT!$A$4:$A$100,0),MATCH(G$1,REPORT!$A$4:$BZ$4,0)),"")</f>
        <v>4.7619047619047616E-2</v>
      </c>
      <c r="H32">
        <f>IFERROR(INDEX(REPORT!$A$4:$BZ$100,MATCH($A32,REPORT!$A$4:$A$100,0),MATCH(H$1,REPORT!$A$4:$BZ$4,0)),"")</f>
        <v>0</v>
      </c>
      <c r="I32">
        <f>IFERROR(INDEX(REPORT!$A$4:$BZ$100,MATCH($A32,REPORT!$A$4:$A$100,0),MATCH(I$1,REPORT!$A$4:$BZ$4,0)),"")</f>
        <v>0.49206349206349198</v>
      </c>
      <c r="J32">
        <f>IFERROR(INDEX(REPORT!$A$4:$BZ$100,MATCH($A32,REPORT!$A$4:$A$100,0),MATCH(J$1,REPORT!$A$4:$BZ$4,0)),"")</f>
        <v>0.14285714285714285</v>
      </c>
      <c r="K32">
        <f>IFERROR(INDEX(REPORT!$A$4:$BZ$100,MATCH($A32,REPORT!$A$4:$A$100,0),MATCH(K$1,REPORT!$A$4:$BZ$4,0)),"")</f>
        <v>1</v>
      </c>
      <c r="L32">
        <f>IFERROR(INDEX(REPORT!$A$4:$BZ$100,MATCH($A32,REPORT!$A$4:$A$100,0),MATCH(L$1,REPORT!$A$4:$BZ$4,0)),"")</f>
        <v>0.33333333333333337</v>
      </c>
      <c r="M32">
        <f>IFERROR(INDEX(REPORT!$A$4:$BZ$100,MATCH($A32,REPORT!$A$4:$A$100,0),MATCH(M$1,REPORT!$A$4:$BZ$4,0)),"")</f>
        <v>0.6607142857142857</v>
      </c>
      <c r="N32">
        <f>IFERROR(INDEX(REPORT!$A$4:$BZ$100,MATCH($A32,REPORT!$A$4:$A$100,0),MATCH(N$1,REPORT!$A$4:$BZ$4,0)),"")</f>
        <v>0.7142857142857143</v>
      </c>
      <c r="O32">
        <f>IFERROR(INDEX(REPORT!$A$4:$BZ$100,MATCH($A32,REPORT!$A$4:$A$100,0),MATCH(O$1,REPORT!$A$4:$BZ$4,0)),"")</f>
        <v>0</v>
      </c>
      <c r="P32">
        <f>IFERROR(INDEX(REPORT!$A$4:$BZ$100,MATCH($A32,REPORT!$A$4:$A$100,0),MATCH(P$1,REPORT!$A$4:$BZ$4,0)),"")</f>
        <v>0.9285714285714286</v>
      </c>
      <c r="Q32">
        <f>IFERROR(INDEX(REPORT!$A$4:$BZ$100,MATCH($A32,REPORT!$A$4:$A$100,0),MATCH(Q$1,REPORT!$A$4:$BZ$4,0)),"")</f>
        <v>1</v>
      </c>
      <c r="R32">
        <f>IFERROR(INDEX(REPORT!$A$4:$BZ$100,MATCH($A32,REPORT!$A$4:$A$100,0),MATCH(R$1,REPORT!$A$4:$BZ$4,0)),"")</f>
        <v>0.4365079365079364</v>
      </c>
      <c r="S32">
        <f>IFERROR(INDEX(REPORT!$A$4:$BZ$100,MATCH($A32,REPORT!$A$4:$A$100,0),MATCH(S$1,REPORT!$A$4:$BZ$4,0)),"")</f>
        <v>0.21428571428571425</v>
      </c>
      <c r="T32">
        <f>IFERROR(INDEX(REPORT!$A$4:$BZ$100,MATCH($A32,REPORT!$A$4:$A$100,0),MATCH(T$1,REPORT!$A$4:$BZ$4,0)),"")</f>
        <v>9.5238095238095233E-2</v>
      </c>
      <c r="U32">
        <f>IFERROR(INDEX(REPORT!$A$4:$BZ$100,MATCH($A32,REPORT!$A$4:$A$100,0),MATCH(U$1,REPORT!$A$4:$BZ$4,0)),"")</f>
        <v>1</v>
      </c>
      <c r="V32">
        <f>IFERROR(INDEX(REPORT!$A$4:$BZ$100,MATCH($A32,REPORT!$A$4:$A$100,0),MATCH(V$1,REPORT!$A$4:$BZ$4,0)),"")</f>
        <v>0.92261904761904756</v>
      </c>
      <c r="W32">
        <f>IFERROR(INDEX(REPORT!$A$4:$BZ$100,MATCH($A32,REPORT!$A$4:$A$100,0),MATCH(W$1,REPORT!$A$4:$BZ$4,0)),"")</f>
        <v>1</v>
      </c>
      <c r="X32">
        <f>IFERROR(INDEX(REPORT!$A$4:$BZ$100,MATCH($A32,REPORT!$A$4:$A$100,0),MATCH(X$1,REPORT!$A$4:$BZ$4,0)),"")</f>
        <v>0.90476190476190488</v>
      </c>
      <c r="Y32">
        <f>IFERROR(INDEX(REPORT!$A$4:$BZ$100,MATCH($A32,REPORT!$A$4:$A$100,0),MATCH(Y$1,REPORT!$A$4:$BZ$4,0)),"")</f>
        <v>0.7857142857142857</v>
      </c>
      <c r="Z32">
        <f>IFERROR(INDEX(REPORT!$A$4:$BZ$100,MATCH($A32,REPORT!$A$4:$A$100,0),MATCH(Z$1,REPORT!$A$4:$BZ$4,0)),"")</f>
        <v>1</v>
      </c>
      <c r="AA32">
        <f>IFERROR(INDEX(REPORT!$A$4:$BZ$100,MATCH($A32,REPORT!$A$4:$A$100,0),MATCH(AA$1,REPORT!$A$4:$BZ$4,0)),"")</f>
        <v>4.7619047619047616E-2</v>
      </c>
      <c r="AB32">
        <f>IFERROR(INDEX(REPORT!$A$4:$BZ$100,MATCH($A32,REPORT!$A$4:$A$100,0),MATCH(AB$1,REPORT!$A$4:$BZ$4,0)),"")</f>
        <v>0</v>
      </c>
      <c r="AC32">
        <f>IFERROR(INDEX(REPORT!$A$4:$BZ$100,MATCH($A32,REPORT!$A$4:$A$100,0),MATCH(AC$1,REPORT!$A$4:$BZ$4,0)),"")</f>
        <v>4.7619047619047616E-2</v>
      </c>
      <c r="AD32">
        <f>IFERROR(INDEX(REPORT!$A$4:$BZ$100,MATCH($A32,REPORT!$A$4:$A$100,0),MATCH(AD$1,REPORT!$A$4:$BZ$4,0)),"")</f>
        <v>0.90476190476190477</v>
      </c>
      <c r="AE32">
        <f>IFERROR(INDEX(REPORT!$A$4:$BZ$100,MATCH($A32,REPORT!$A$4:$A$100,0),MATCH(AE$1,REPORT!$A$4:$BZ$4,0)),"")</f>
        <v>2.0166446208112875E-3</v>
      </c>
      <c r="AF32">
        <f>IFERROR(INDEX(REPORT!$A$4:$BZ$100,MATCH($A32,REPORT!$A$4:$A$100,0),MATCH(AF$1,REPORT!$A$4:$BZ$4,0)),"")</f>
        <v>5.1428571428571432</v>
      </c>
      <c r="AG32">
        <f>IFERROR(INDEX(REPORT!$A$4:$BZ$100,MATCH($A32,REPORT!$A$4:$A$100,0),MATCH(AG$1,REPORT!$A$4:$BZ$4,0)),"")</f>
        <v>0.7142857142857143</v>
      </c>
      <c r="AH32">
        <f>IFERROR(INDEX(REPORT!$A$4:$BZ$100,MATCH($A32,REPORT!$A$4:$A$100,0),MATCH(AH$1,REPORT!$A$4:$BZ$4,0)),"")</f>
        <v>0.49999999999999994</v>
      </c>
      <c r="AI32">
        <f>IFERROR(INDEX(REPORT!$A$4:$BZ$100,MATCH($A32,REPORT!$A$4:$A$100,0),MATCH(AI$1,REPORT!$A$4:$BZ$4,0)),"")</f>
        <v>0.76190476190476186</v>
      </c>
      <c r="AJ32">
        <f>IFERROR(INDEX(REPORT!$A$4:$BZ$100,MATCH($A32,REPORT!$A$4:$A$100,0),MATCH(AJ$1,REPORT!$A$4:$BZ$4,0)),"")</f>
        <v>0.7142857142857143</v>
      </c>
      <c r="AK32">
        <f>IFERROR(INDEX(REPORT!$A$4:$BZ$100,MATCH($A32,REPORT!$A$4:$A$100,0),MATCH(AK$1,REPORT!$A$4:$BZ$4,0)),"")</f>
        <v>4.2443783068783075E-3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90" zoomScaleNormal="90" workbookViewId="0">
      <selection activeCell="I75" sqref="I75"/>
    </sheetView>
  </sheetViews>
  <sheetFormatPr baseColWidth="10" defaultColWidth="11.5" defaultRowHeight="16" x14ac:dyDescent="0.2"/>
  <cols>
    <col min="1" max="1" width="37.1640625" bestFit="1" customWidth="1"/>
    <col min="2" max="2" width="12"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287" t="s">
        <v>113</v>
      </c>
      <c r="E1" s="287" t="s">
        <v>114</v>
      </c>
      <c r="F1" s="287" t="s">
        <v>115</v>
      </c>
      <c r="G1" s="287" t="s">
        <v>116</v>
      </c>
      <c r="H1" s="287" t="s">
        <v>117</v>
      </c>
      <c r="I1" s="287" t="s">
        <v>118</v>
      </c>
      <c r="J1" s="287" t="s">
        <v>119</v>
      </c>
      <c r="K1" s="188" t="s">
        <v>90</v>
      </c>
      <c r="L1" s="188" t="s">
        <v>91</v>
      </c>
      <c r="M1" s="188" t="s">
        <v>92</v>
      </c>
      <c r="N1" s="188" t="s">
        <v>93</v>
      </c>
      <c r="O1" s="188" t="s">
        <v>94</v>
      </c>
      <c r="P1" s="188" t="s">
        <v>95</v>
      </c>
      <c r="Q1" s="188" t="s">
        <v>96</v>
      </c>
      <c r="R1" s="188" t="s">
        <v>97</v>
      </c>
      <c r="S1" s="188" t="s">
        <v>98</v>
      </c>
      <c r="T1" s="188" t="s">
        <v>99</v>
      </c>
      <c r="U1" s="188" t="s">
        <v>100</v>
      </c>
      <c r="V1" s="188" t="s">
        <v>101</v>
      </c>
      <c r="W1" s="188" t="s">
        <v>102</v>
      </c>
      <c r="X1" s="188" t="s">
        <v>103</v>
      </c>
      <c r="Y1" s="188" t="s">
        <v>104</v>
      </c>
      <c r="Z1" s="188" t="s">
        <v>105</v>
      </c>
      <c r="AA1" s="188" t="s">
        <v>106</v>
      </c>
      <c r="AB1" s="188" t="s">
        <v>107</v>
      </c>
      <c r="AC1" s="188" t="s">
        <v>108</v>
      </c>
      <c r="AD1" s="188" t="s">
        <v>109</v>
      </c>
      <c r="AE1" s="188" t="s">
        <v>110</v>
      </c>
      <c r="AF1" s="188" t="s">
        <v>111</v>
      </c>
      <c r="AG1" s="188" t="s">
        <v>112</v>
      </c>
    </row>
    <row r="2" spans="1:37" ht="27" thickBot="1" x14ac:dyDescent="0.25">
      <c r="A2" s="189" t="str">
        <f>REPORT!A2</f>
        <v>COUNCILS</v>
      </c>
      <c r="B2" s="190" t="s">
        <v>59</v>
      </c>
      <c r="C2" s="35">
        <f>SUM(D2:L2)</f>
        <v>21</v>
      </c>
      <c r="D2" s="191">
        <f>COUNTA(BRISBANE!$D2:$F2)</f>
        <v>3</v>
      </c>
      <c r="E2" s="191">
        <f>COUNTA(CASEY!D2:F2)</f>
        <v>3</v>
      </c>
      <c r="F2" s="191">
        <f>COUNTA(FRANKSTON!D2:F2)</f>
        <v>3</v>
      </c>
      <c r="G2" s="191">
        <f>COUNTA(LAUNCESTON!D2:F2)</f>
        <v>3</v>
      </c>
      <c r="H2" s="191">
        <f>COUNTA(MONASH!D2:F2)</f>
        <v>3</v>
      </c>
      <c r="I2" s="191">
        <f>COUNTA(ONKAPARINGA!D2:F2)</f>
        <v>3</v>
      </c>
      <c r="J2" s="191">
        <f>COUNTA(STIRLING!D2:F2)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0.54603854875283442</v>
      </c>
      <c r="C3" s="194"/>
      <c r="D3" s="195">
        <f t="shared" ref="D3:I3" si="0">IF(D51="-","-",D48)</f>
        <v>0.67784722222222216</v>
      </c>
      <c r="E3" s="195">
        <f t="shared" si="0"/>
        <v>0.34992261904761912</v>
      </c>
      <c r="F3" s="195">
        <f t="shared" si="0"/>
        <v>0.56843055555555555</v>
      </c>
      <c r="G3" s="195">
        <f t="shared" si="0"/>
        <v>0.34454166666666663</v>
      </c>
      <c r="H3" s="195">
        <f t="shared" si="0"/>
        <v>0.56333333333333324</v>
      </c>
      <c r="I3" s="195">
        <f t="shared" si="0"/>
        <v>0.64687499999999998</v>
      </c>
      <c r="J3" s="195">
        <f>IF(J51="-","-",J48)</f>
        <v>0.67131944444444447</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0.55049603174603179</v>
      </c>
      <c r="C4" s="199" t="s">
        <v>1</v>
      </c>
      <c r="D4" s="200">
        <f>IF(D2=0, "-", IF(BRISBANE!$B$4="-", "-", BRISBANE!$B$4))</f>
        <v>0.62638888888888888</v>
      </c>
      <c r="E4" s="200">
        <f>IF(E2=0, "-", IF(CASEY!$B$4="-", "-", CASEY!$B$4))</f>
        <v>0.57291666666666674</v>
      </c>
      <c r="F4" s="200">
        <f>IF(F2=0, "-", IF(FRANKSTON!$B$4="-", "-", FRANKSTON!$B$4))</f>
        <v>0.52638888888888891</v>
      </c>
      <c r="G4" s="200">
        <f>IF(G2=0, "-", IF(LAUNCESTON!$B$4="-", "-", LAUNCESTON!$B$4))</f>
        <v>0.46666666666666667</v>
      </c>
      <c r="H4" s="200">
        <f>IF(H2=0, "-", IF(MONASH!$B$4="-", "-", MONASH!$B$4))</f>
        <v>0.43333333333333329</v>
      </c>
      <c r="I4" s="200">
        <f>IF(I2=0, "-", IF(ONKAPARINGA!$B$4="-", "-", ONKAPARINGA!$B$4))</f>
        <v>0.6</v>
      </c>
      <c r="J4" s="200">
        <f>IF(J2=0, "-", IF(STIRLING!$B$4="-", "-", STIRLING!$B$4))</f>
        <v>0.62777777777777788</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0.55525793650793653</v>
      </c>
      <c r="C5" s="203" t="s">
        <v>45</v>
      </c>
      <c r="D5" s="204">
        <f>BRISBANE!$B5</f>
        <v>0.62638888888888888</v>
      </c>
      <c r="E5" s="204">
        <f>CASEY!$B5</f>
        <v>0.57291666666666674</v>
      </c>
      <c r="F5" s="204">
        <f>FRANKSTON!$B5</f>
        <v>0.55972222222222223</v>
      </c>
      <c r="G5" s="204">
        <f>LAUNCESTON!$B5</f>
        <v>0.46666666666666667</v>
      </c>
      <c r="H5" s="204">
        <f>MONASH!$B5</f>
        <v>0.43333333333333329</v>
      </c>
      <c r="I5" s="204">
        <f>ONKAPARINGA!$B5</f>
        <v>0.6</v>
      </c>
      <c r="J5" s="204">
        <f>STIRLING!$B5</f>
        <v>0.62777777777777788</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0.20833333333333329</v>
      </c>
      <c r="C6" s="1">
        <f>AJ24</f>
        <v>0.2</v>
      </c>
      <c r="D6" s="205">
        <f>IF(D$39=0%,"-",IF(D$2=0,"-",BRISBANE!$B6))</f>
        <v>0.16666666666666666</v>
      </c>
      <c r="E6" s="205">
        <f>IF(E$39=0%,"-",IF(E$2=0,"-",CASEY!$B6))</f>
        <v>0.375</v>
      </c>
      <c r="F6" s="205">
        <f>IF(F$39=0%,"-",IF(F$2=0,"-",FRANKSTON!$B6))</f>
        <v>0.25</v>
      </c>
      <c r="G6" s="205">
        <f>IF(G$39=0%,"-",IF(G$2=0,"-",LAUNCESTON!$B6))</f>
        <v>0.25</v>
      </c>
      <c r="H6" s="205">
        <f>IF(H$39=0%,"-",IF(H$2=0,"-",MONASH!$B6))</f>
        <v>0</v>
      </c>
      <c r="I6" s="205">
        <f>IF(I$39=0%,"-",IF(I$2=0,"-",ONKAPARINGA!$B6))</f>
        <v>8.3333333333333329E-2</v>
      </c>
      <c r="J6" s="205">
        <f>IF(J$39=0%,"-",IF(J$2=0,"-",STIRLING!$B6))</f>
        <v>0.33333333333333331</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0.5714285714285714</v>
      </c>
      <c r="C7" s="206" t="s">
        <v>1</v>
      </c>
      <c r="D7" s="207">
        <f>IF(D$39=0%,"-",IF(D$2=0,"-",BRISBANE!$B7))</f>
        <v>0</v>
      </c>
      <c r="E7" s="207">
        <f>IF(E$39=0%,"-",IF(E$2=0,"-",CASEY!$B7))</f>
        <v>1</v>
      </c>
      <c r="F7" s="207">
        <f>IF(F$39=0%,"-",IF(F$2=0,"-",FRANKSTON!$B7))</f>
        <v>1</v>
      </c>
      <c r="G7" s="207">
        <f>IF(G$39=0%,"-",IF(G$2=0,"-",LAUNCESTON!$B7))</f>
        <v>1</v>
      </c>
      <c r="H7" s="207">
        <f>IF(H$39=0%,"-",IF(H$2=0,"-",MONASH!$B7))</f>
        <v>0</v>
      </c>
      <c r="I7" s="207">
        <f>IF(I$39=0%,"-",IF(I$2=0,"-",ONKAPARINGA!$B7))</f>
        <v>0</v>
      </c>
      <c r="J7" s="207">
        <f>IF(J$39=0%,"-",IF(J$2=0,"-",STIRLING!$B7))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0.21428571428571425</v>
      </c>
      <c r="C8" s="206" t="s">
        <v>1</v>
      </c>
      <c r="D8" s="208">
        <f>IF(D$39=0%,"-",IF(D$2=0,"-",BRISBANE!$B8))</f>
        <v>0.33333333333333331</v>
      </c>
      <c r="E8" s="208">
        <f>IF(E$39=0%,"-",IF(E$2=0,"-",CASEY!$B8))</f>
        <v>0.5</v>
      </c>
      <c r="F8" s="208">
        <f>IF(F$39=0%,"-",IF(F$2=0,"-",FRANKSTON!$B8))</f>
        <v>0</v>
      </c>
      <c r="G8" s="208">
        <f>IF(G$39=0%,"-",IF(G$2=0,"-",LAUNCESTON!$B8))</f>
        <v>0</v>
      </c>
      <c r="H8" s="208">
        <f>IF(H$39=0%,"-",IF(H$2=0,"-",MONASH!$B8))</f>
        <v>0</v>
      </c>
      <c r="I8" s="208">
        <f>IF(I$39=0%,"-",IF(I$2=0,"-",ONKAPARINGA!$B8))</f>
        <v>0.33333333333333331</v>
      </c>
      <c r="J8" s="208">
        <f>IF(J$39=0%,"-",IF(J$2=0,"-",STIRLING!$B8))</f>
        <v>0.33333333333333331</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4.7619047619047616E-2</v>
      </c>
      <c r="C9" s="206" t="s">
        <v>1</v>
      </c>
      <c r="D9" s="207">
        <f>IF(D$39=0%,"-",IF(D$2=0,"-",BRISBANE!$B9))</f>
        <v>0.33333333333333331</v>
      </c>
      <c r="E9" s="207">
        <f>IF(E$39=0%,"-",IF(E$2=0,"-",CASEY!$B9))</f>
        <v>0</v>
      </c>
      <c r="F9" s="207">
        <f>IF(F$39=0%,"-",IF(F$2=0,"-",FRANKSTON!$B9))</f>
        <v>0</v>
      </c>
      <c r="G9" s="207">
        <f>IF(G$39=0%,"-",IF(G$2=0,"-",LAUNCESTON!$B9))</f>
        <v>0</v>
      </c>
      <c r="H9" s="207">
        <f>IF(H$39=0%,"-",IF(H$2=0,"-",MONASH!$B9))</f>
        <v>0</v>
      </c>
      <c r="I9" s="207">
        <f>IF(I$39=0%,"-",IF(I$2=0,"-",ONKAPARINGA!$B9))</f>
        <v>0</v>
      </c>
      <c r="J9" s="207">
        <f>IF(J$39=0%,"-",IF(J$2=0,"-",STIRLING!$B9))</f>
        <v>0</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v>
      </c>
      <c r="C10" s="206" t="s">
        <v>1</v>
      </c>
      <c r="D10" s="208">
        <f>IF(D$39=0%,"-",IF(D$2=0,"-",BRISBANE!$B10))</f>
        <v>0</v>
      </c>
      <c r="E10" s="208">
        <f>IF(E$39=0%,"-",IF(E$2=0,"-",CASEY!$B10))</f>
        <v>0</v>
      </c>
      <c r="F10" s="208">
        <f>IF(F$39=0%,"-",IF(F$2=0,"-",FRANKSTON!$B10))</f>
        <v>0</v>
      </c>
      <c r="G10" s="208">
        <f>IF(G$39=0%,"-",IF(G$2=0,"-",LAUNCESTON!$B10))</f>
        <v>0</v>
      </c>
      <c r="H10" s="208">
        <f>IF(H$39=0%,"-",IF(H$2=0,"-",MONASH!$B10))</f>
        <v>0</v>
      </c>
      <c r="I10" s="208">
        <f>IF(I$39=0%,"-",IF(I$2=0,"-",ONKAPARINGA!$B10))</f>
        <v>0</v>
      </c>
      <c r="J10" s="208">
        <f>IF(J$39=0%,"-",IF(J$2=0,"-",STIRLING!$B10))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0.49206349206349198</v>
      </c>
      <c r="C12" s="1">
        <f>AJ25</f>
        <v>0.2</v>
      </c>
      <c r="D12" s="210">
        <f>IF(D$39=0%,"-",IF(D$2=0,"-",BRISBANE!$B12))</f>
        <v>0.77777777777777768</v>
      </c>
      <c r="E12" s="210">
        <f>IF(E$39=0%,"-",IF(E$2=0,"-",CASEY!$B12))</f>
        <v>0.33333333333333331</v>
      </c>
      <c r="F12" s="210">
        <f>IF(F$39=0%,"-",IF(F$2=0,"-",FRANKSTON!$B12))</f>
        <v>0.44444444444444442</v>
      </c>
      <c r="G12" s="210">
        <f>IF(G$39=0%,"-",IF(G$2=0,"-",LAUNCESTON!$B12))</f>
        <v>0.33333333333333331</v>
      </c>
      <c r="H12" s="210">
        <f>IF(H$39=0%,"-",IF(H$2=0,"-",MONASH!$B12))</f>
        <v>0.33333333333333331</v>
      </c>
      <c r="I12" s="210">
        <f>IF(I$39=0%,"-",IF(I$2=0,"-",ONKAPARINGA!$B12))</f>
        <v>0.66666666666666663</v>
      </c>
      <c r="J12" s="210">
        <f>IF(J$39=0%,"-",IF(J$2=0,"-",STIRLING!$B12))</f>
        <v>0.55555555555555547</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0.14285714285714285</v>
      </c>
      <c r="C13" s="206" t="s">
        <v>1</v>
      </c>
      <c r="D13" s="207">
        <f>IF(D$39=0%,"-",IF(D$2=0,"-",BRISBANE!$B13))</f>
        <v>0.33333333333333331</v>
      </c>
      <c r="E13" s="207">
        <f>IF(E$39=0%,"-",IF(E$2=0,"-",CASEY!$B13))</f>
        <v>0</v>
      </c>
      <c r="F13" s="207">
        <f>IF(F$39=0%,"-",IF(F$2=0,"-",FRANKSTON!$B13))</f>
        <v>0</v>
      </c>
      <c r="G13" s="207">
        <f>IF(G$39=0%,"-",IF(G$2=0,"-",LAUNCESTON!$B13))</f>
        <v>0</v>
      </c>
      <c r="H13" s="207">
        <f>IF(H$39=0%,"-",IF(H$2=0,"-",MONASH!$B13))</f>
        <v>0</v>
      </c>
      <c r="I13" s="207">
        <f>IF(I$39=0%,"-",IF(I$2=0,"-",ONKAPARINGA!$B13))</f>
        <v>0.33333333333333331</v>
      </c>
      <c r="J13" s="207">
        <f>IF(J$39=0%,"-",IF(J$2=0,"-",STIRLING!$B13))</f>
        <v>0.33333333333333331</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1</v>
      </c>
      <c r="C14" s="206" t="s">
        <v>1</v>
      </c>
      <c r="D14" s="208">
        <f>IF(D$39=0%,"-",IF(D$2=0,"-",BRISBANE!$B14))</f>
        <v>1</v>
      </c>
      <c r="E14" s="208">
        <f>IF(E$39=0%,"-",IF(E$2=0,"-",CASEY!$B14))</f>
        <v>1</v>
      </c>
      <c r="F14" s="208">
        <f>IF(F$39=0%,"-",IF(F$2=0,"-",FRANKSTON!$B14))</f>
        <v>1</v>
      </c>
      <c r="G14" s="208">
        <f>IF(G$39=0%,"-",IF(G$2=0,"-",LAUNCESTON!$B14))</f>
        <v>1</v>
      </c>
      <c r="H14" s="208">
        <f>IF(H$39=0%,"-",IF(H$2=0,"-",MONASH!$B14))</f>
        <v>1</v>
      </c>
      <c r="I14" s="208">
        <f>IF(I$39=0%,"-",IF(I$2=0,"-",ONKAPARINGA!$B14))</f>
        <v>1</v>
      </c>
      <c r="J14" s="208">
        <f>IF(J$39=0%,"-",IF(J$2=0,"-",STIRLING!$B14))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0.33333333333333337</v>
      </c>
      <c r="C15" s="206" t="s">
        <v>1</v>
      </c>
      <c r="D15" s="207">
        <f>IF(D$39=0%,"-",IF(D$2=0,"-",BRISBANE!$B15))</f>
        <v>1</v>
      </c>
      <c r="E15" s="207">
        <f>IF(E$39=0%,"-",IF(E$2=0,"-",CASEY!$B15))</f>
        <v>0</v>
      </c>
      <c r="F15" s="207">
        <f>IF(F$39=0%,"-",IF(F$2=0,"-",FRANKSTON!$B15))</f>
        <v>0.33333333333333331</v>
      </c>
      <c r="G15" s="207">
        <f>IF(G$39=0%,"-",IF(G$2=0,"-",LAUNCESTON!$B15))</f>
        <v>0</v>
      </c>
      <c r="H15" s="207">
        <f>IF(H$39=0%,"-",IF(H$2=0,"-",MONASH!$B15))</f>
        <v>0</v>
      </c>
      <c r="I15" s="207">
        <f>IF(I$39=0%,"-",IF(I$2=0,"-",ONKAPARINGA!$B15))</f>
        <v>0.66666666666666663</v>
      </c>
      <c r="J15" s="207">
        <f>IF(J$39=0%,"-",IF(J$2=0,"-",STIRLING!$B15))</f>
        <v>0.33333333333333331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0.6607142857142857</v>
      </c>
      <c r="C17" s="1">
        <f>AJ26</f>
        <v>0.25</v>
      </c>
      <c r="D17" s="210">
        <f>IF(D$39=0%,"-",IF(D$2=0,"-",BRISBANE!$B17))</f>
        <v>0.75</v>
      </c>
      <c r="E17" s="210">
        <f>IF(E$39=0%,"-",IF(E$2=0,"-",CASEY!$B17))</f>
        <v>0.625</v>
      </c>
      <c r="F17" s="210">
        <f>IF(F$39=0%,"-",IF(F$2=0,"-",FRANKSTON!$B17))</f>
        <v>0.75</v>
      </c>
      <c r="G17" s="210">
        <f>IF(G$39=0%,"-",IF(G$2=0,"-",LAUNCESTON!$B17))</f>
        <v>0.5</v>
      </c>
      <c r="H17" s="210">
        <f>IF(H$39=0%,"-",IF(H$2=0,"-",MONASH!$B17))</f>
        <v>0.66666666666666663</v>
      </c>
      <c r="I17" s="210">
        <f>IF(I$39=0%,"-",IF(I$2=0,"-",ONKAPARINGA!$B17))</f>
        <v>0.66666666666666663</v>
      </c>
      <c r="J17" s="210">
        <f>IF(J$39=0%,"-",IF(J$2=0,"-",STIRLING!$B17))</f>
        <v>0.66666666666666663</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0.7142857142857143</v>
      </c>
      <c r="C18" s="206" t="s">
        <v>1</v>
      </c>
      <c r="D18" s="207">
        <f>IF(D$39=0%,"-",IF(D$2=0,"-",BRISBANE!$B18))</f>
        <v>1</v>
      </c>
      <c r="E18" s="207">
        <f>IF(E$39=0%,"-",IF(E$2=0,"-",CASEY!$B18))</f>
        <v>0.5</v>
      </c>
      <c r="F18" s="207">
        <f>IF(F$39=0%,"-",IF(F$2=0,"-",FRANKSTON!$B18))</f>
        <v>1</v>
      </c>
      <c r="G18" s="207">
        <f>IF(G$39=0%,"-",IF(G$2=0,"-",LAUNCESTON!$B18))</f>
        <v>0.5</v>
      </c>
      <c r="H18" s="207">
        <f>IF(H$39=0%,"-",IF(H$2=0,"-",MONASH!$B18))</f>
        <v>0.66666666666666663</v>
      </c>
      <c r="I18" s="207">
        <f>IF(I$39=0%,"-",IF(I$2=0,"-",ONKAPARINGA!$B18))</f>
        <v>0.66666666666666663</v>
      </c>
      <c r="J18" s="207">
        <f>IF(J$39=0%,"-",IF(J$2=0,"-",STIRLING!$B18))</f>
        <v>0.66666666666666663</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v>
      </c>
      <c r="C19" s="206" t="s">
        <v>1</v>
      </c>
      <c r="D19" s="208">
        <f>IF(D$39=0%,"-",IF(D$2=0,"-",BRISBANE!$B19))</f>
        <v>0</v>
      </c>
      <c r="E19" s="208">
        <f>IF(E$39=0%,"-",IF(E$2=0,"-",CASEY!$B19))</f>
        <v>0</v>
      </c>
      <c r="F19" s="208">
        <f>IF(F$39=0%,"-",IF(F$2=0,"-",FRANKSTON!$B19))</f>
        <v>0</v>
      </c>
      <c r="G19" s="208">
        <f>IF(G$39=0%,"-",IF(G$2=0,"-",LAUNCESTON!$B19))</f>
        <v>0</v>
      </c>
      <c r="H19" s="208">
        <f>IF(H$39=0%,"-",IF(H$2=0,"-",MONASH!$B19))</f>
        <v>0</v>
      </c>
      <c r="I19" s="208">
        <f>IF(I$39=0%,"-",IF(I$2=0,"-",ONKAPARINGA!$B19))</f>
        <v>0</v>
      </c>
      <c r="J19" s="208">
        <f>IF(J$39=0%,"-",IF(J$2=0,"-",STIRLING!$B19))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0.9285714285714286</v>
      </c>
      <c r="C20" s="206" t="s">
        <v>1</v>
      </c>
      <c r="D20" s="207">
        <f>IF(D$39=0%,"-",IF(D$2=0,"-",BRISBANE!$B20))</f>
        <v>1</v>
      </c>
      <c r="E20" s="207">
        <f>IF(E$39=0%,"-",IF(E$2=0,"-",CASEY!$B20))</f>
        <v>1</v>
      </c>
      <c r="F20" s="207">
        <f>IF(F$39=0%,"-",IF(F$2=0,"-",FRANKSTON!$B20))</f>
        <v>1</v>
      </c>
      <c r="G20" s="207">
        <f>IF(G$39=0%,"-",IF(G$2=0,"-",LAUNCESTON!$B20))</f>
        <v>0.5</v>
      </c>
      <c r="H20" s="207">
        <f>IF(H$39=0%,"-",IF(H$2=0,"-",MONASH!$B20))</f>
        <v>1</v>
      </c>
      <c r="I20" s="207">
        <f>IF(I$39=0%,"-",IF(I$2=0,"-",ONKAPARINGA!$B20))</f>
        <v>1</v>
      </c>
      <c r="J20" s="207">
        <f>IF(J$39=0%,"-",IF(J$2=0,"-",STIRLING!$B20))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IF(D$39=0%,"-",IF(D$2=0,"-",BRISBANE!$B21))</f>
        <v>1</v>
      </c>
      <c r="E21" s="208">
        <f>IF(E$39=0%,"-",IF(E$2=0,"-",CASEY!$B21))</f>
        <v>1</v>
      </c>
      <c r="F21" s="208">
        <f>IF(F$39=0%,"-",IF(F$2=0,"-",FRANKSTON!$B21))</f>
        <v>1</v>
      </c>
      <c r="G21" s="208">
        <f>IF(G$39=0%,"-",IF(G$2=0,"-",LAUNCESTON!$B21))</f>
        <v>1</v>
      </c>
      <c r="H21" s="208">
        <f>IF(H$39=0%,"-",IF(H$2=0,"-",MONASH!$B21))</f>
        <v>1</v>
      </c>
      <c r="I21" s="208">
        <f>IF(I$39=0%,"-",IF(I$2=0,"-",ONKAPARINGA!$B21))</f>
        <v>1</v>
      </c>
      <c r="J21" s="208">
        <f>IF(J$39=0%,"-",IF(J$2=0,"-",STIRLING!$B21))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0.4365079365079364</v>
      </c>
      <c r="C23" s="1">
        <f>AJ27</f>
        <v>0.15</v>
      </c>
      <c r="D23" s="210">
        <f>IF(D$39=0%,"-",IF(D$2=0,"-",BRISBANE!$B23))</f>
        <v>0.33333333333333331</v>
      </c>
      <c r="E23" s="210">
        <f>IF(E$39=0%,"-",IF(E$2=0,"-",CASEY!$B23))</f>
        <v>0.5</v>
      </c>
      <c r="F23" s="210">
        <f>IF(F$39=0%,"-",IF(F$2=0,"-",FRANKSTON!$B23))</f>
        <v>0.33333333333333331</v>
      </c>
      <c r="G23" s="210">
        <f>IF(G$39=0%,"-",IF(G$2=0,"-",LAUNCESTON!$B23))</f>
        <v>0.33333333333333331</v>
      </c>
      <c r="H23" s="210">
        <f>IF(H$39=0%,"-",IF(H$2=0,"-",MONASH!$B23))</f>
        <v>0.33333333333333331</v>
      </c>
      <c r="I23" s="210">
        <f>IF(I$39=0%,"-",IF(I$2=0,"-",ONKAPARINGA!$B23))</f>
        <v>0.55555555555555547</v>
      </c>
      <c r="J23" s="210">
        <f>IF(J$39=0%,"-",IF(J$2=0,"-",STIRLING!$B23))</f>
        <v>0.66666666666666663</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0.21428571428571425</v>
      </c>
      <c r="C24" s="206" t="s">
        <v>1</v>
      </c>
      <c r="D24" s="207">
        <f>IF(D$39=0%,"-",IF(D$2=0,"-",BRISBANE!$B24))</f>
        <v>0</v>
      </c>
      <c r="E24" s="207">
        <f>IF(E$39=0%,"-",IF(E$2=0,"-",CASEY!$B24))</f>
        <v>0.5</v>
      </c>
      <c r="F24" s="207">
        <f>IF(F$39=0%,"-",IF(F$2=0,"-",FRANKSTON!$B24))</f>
        <v>0</v>
      </c>
      <c r="G24" s="207">
        <f>IF(G$39=0%,"-",IF(G$2=0,"-",LAUNCESTON!$B24))</f>
        <v>0</v>
      </c>
      <c r="H24" s="207">
        <f>IF(H$39=0%,"-",IF(H$2=0,"-",MONASH!$B24))</f>
        <v>0</v>
      </c>
      <c r="I24" s="207">
        <f>IF(I$39=0%,"-",IF(I$2=0,"-",ONKAPARINGA!$B24))</f>
        <v>0.66666666666666663</v>
      </c>
      <c r="J24" s="207">
        <f>IF(J$39=0%,"-",IF(J$2=0,"-",STIRLING!$B24))</f>
        <v>0.33333333333333331</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9.5238095238095233E-2</v>
      </c>
      <c r="C25" s="206" t="s">
        <v>1</v>
      </c>
      <c r="D25" s="208">
        <f>IF(D$39=0%,"-",IF(D$2=0,"-",BRISBANE!$B25))</f>
        <v>0</v>
      </c>
      <c r="E25" s="208">
        <f>IF(E$39=0%,"-",IF(E$2=0,"-",CASEY!$B25))</f>
        <v>0</v>
      </c>
      <c r="F25" s="208">
        <f>IF(F$39=0%,"-",IF(F$2=0,"-",FRANKSTON!$B25))</f>
        <v>0</v>
      </c>
      <c r="G25" s="208">
        <f>IF(G$39=0%,"-",IF(G$2=0,"-",LAUNCESTON!$B25))</f>
        <v>0</v>
      </c>
      <c r="H25" s="208">
        <f>IF(H$39=0%,"-",IF(H$2=0,"-",MONASH!$B25))</f>
        <v>0</v>
      </c>
      <c r="I25" s="208">
        <f>IF(I$39=0%,"-",IF(I$2=0,"-",ONKAPARINGA!$B25))</f>
        <v>0</v>
      </c>
      <c r="J25" s="208">
        <f>IF(J$39=0%,"-",IF(J$2=0,"-",STIRLING!$B25))</f>
        <v>0.66666666666666663</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1</v>
      </c>
      <c r="C26" s="206" t="s">
        <v>1</v>
      </c>
      <c r="D26" s="207">
        <f>IF(D$39=0%,"-",IF(D$2=0,"-",BRISBANE!$B26))</f>
        <v>1</v>
      </c>
      <c r="E26" s="207">
        <f>IF(E$39=0%,"-",IF(E$2=0,"-",CASEY!$B26))</f>
        <v>1</v>
      </c>
      <c r="F26" s="207">
        <f>IF(F$39=0%,"-",IF(F$2=0,"-",FRANKSTON!$B26))</f>
        <v>1</v>
      </c>
      <c r="G26" s="207">
        <f>IF(G$39=0%,"-",IF(G$2=0,"-",LAUNCESTON!$B26))</f>
        <v>1</v>
      </c>
      <c r="H26" s="207">
        <f>IF(H$39=0%,"-",IF(H$2=0,"-",MONASH!$B26))</f>
        <v>1</v>
      </c>
      <c r="I26" s="207">
        <f>IF(I$39=0%,"-",IF(I$2=0,"-",ONKAPARINGA!$B26))</f>
        <v>1</v>
      </c>
      <c r="J26" s="207">
        <f>IF(J$39=0%,"-",IF(J$2=0,"-",STIRLING!$B26))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0.92261904761904756</v>
      </c>
      <c r="C28" s="1">
        <f>AJ28</f>
        <v>0.2</v>
      </c>
      <c r="D28" s="210">
        <f>IF(D$39=0%,"-",IF(D$2=0,"-",BRISBANE!$B28))</f>
        <v>1</v>
      </c>
      <c r="E28" s="210">
        <f>IF(E$39=0%,"-",IF(E$2=0,"-",CASEY!$B28))</f>
        <v>1</v>
      </c>
      <c r="F28" s="210">
        <f>IF(F$39=0%,"-",IF(F$2=0,"-",FRANKSTON!$B28))</f>
        <v>0.91666666666666663</v>
      </c>
      <c r="G28" s="210">
        <f>IF(G$39=0%,"-",IF(G$2=0,"-",LAUNCESTON!$B28))</f>
        <v>0.875</v>
      </c>
      <c r="H28" s="210">
        <f>IF(H$39=0%,"-",IF(H$2=0,"-",MONASH!$B28))</f>
        <v>0.75</v>
      </c>
      <c r="I28" s="210">
        <f>IF(I$39=0%,"-",IF(I$2=0,"-",ONKAPARINGA!$B28))</f>
        <v>1</v>
      </c>
      <c r="J28" s="210">
        <f>IF(J$39=0%,"-",IF(J$2=0,"-",STIRLING!$B28))</f>
        <v>0.91666666666666663</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1</v>
      </c>
      <c r="C29" s="206" t="s">
        <v>1</v>
      </c>
      <c r="D29" s="207">
        <f>IF(D$39=0%,"-",IF(D$2=0,"-",BRISBANE!$B29))</f>
        <v>1</v>
      </c>
      <c r="E29" s="207">
        <f>IF(E$39=0%,"-",IF(E$2=0,"-",CASEY!$B29))</f>
        <v>1</v>
      </c>
      <c r="F29" s="207">
        <f>IF(F$39=0%,"-",IF(F$2=0,"-",FRANKSTON!$B29))</f>
        <v>1</v>
      </c>
      <c r="G29" s="207">
        <f>IF(G$39=0%,"-",IF(G$2=0,"-",LAUNCESTON!$B29))</f>
        <v>1</v>
      </c>
      <c r="H29" s="207">
        <f>IF(H$39=0%,"-",IF(H$2=0,"-",MONASH!$B29))</f>
        <v>1</v>
      </c>
      <c r="I29" s="207">
        <f>IF(I$39=0%,"-",IF(I$2=0,"-",ONKAPARINGA!$B29))</f>
        <v>1</v>
      </c>
      <c r="J29" s="207">
        <f>IF(J$39=0%,"-",IF(J$2=0,"-",STIRLING!$B29))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0.90476190476190488</v>
      </c>
      <c r="C30" s="206" t="s">
        <v>1</v>
      </c>
      <c r="D30" s="208">
        <f>IF(D$39=0%,"-",IF(D$2=0,"-",BRISBANE!$B30))</f>
        <v>1</v>
      </c>
      <c r="E30" s="208">
        <f>IF(E$39=0%,"-",IF(E$2=0,"-",CASEY!$B30))</f>
        <v>1</v>
      </c>
      <c r="F30" s="208">
        <f>IF(F$39=0%,"-",IF(F$2=0,"-",FRANKSTON!$B30))</f>
        <v>1</v>
      </c>
      <c r="G30" s="208">
        <f>IF(G$39=0%,"-",IF(G$2=0,"-",LAUNCESTON!$B30))</f>
        <v>1</v>
      </c>
      <c r="H30" s="208">
        <f>IF(H$39=0%,"-",IF(H$2=0,"-",MONASH!$B30))</f>
        <v>0.66666666666666663</v>
      </c>
      <c r="I30" s="208">
        <f>IF(I$39=0%,"-",IF(I$2=0,"-",ONKAPARINGA!$B30))</f>
        <v>1</v>
      </c>
      <c r="J30" s="208">
        <f>IF(J$39=0%,"-",IF(J$2=0,"-",STIRLING!$B30))</f>
        <v>0.66666666666666663</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0.7857142857142857</v>
      </c>
      <c r="C31" s="206" t="s">
        <v>1</v>
      </c>
      <c r="D31" s="207">
        <f>IF(D$39=0%,"-",IF(D$2=0,"-",BRISBANE!$B31))</f>
        <v>1</v>
      </c>
      <c r="E31" s="207">
        <f>IF(E$39=0%,"-",IF(E$2=0,"-",CASEY!$B31))</f>
        <v>1</v>
      </c>
      <c r="F31" s="207">
        <f>IF(F$39=0%,"-",IF(F$2=0,"-",FRANKSTON!$B31))</f>
        <v>0.66666666666666663</v>
      </c>
      <c r="G31" s="207">
        <f>IF(G$39=0%,"-",IF(G$2=0,"-",LAUNCESTON!$B31))</f>
        <v>0.5</v>
      </c>
      <c r="H31" s="207">
        <f>IF(H$39=0%,"-",IF(H$2=0,"-",MONASH!$B31))</f>
        <v>0.33333333333333331</v>
      </c>
      <c r="I31" s="207">
        <f>IF(I$39=0%,"-",IF(I$2=0,"-",ONKAPARINGA!$B31))</f>
        <v>1</v>
      </c>
      <c r="J31" s="207">
        <f>IF(J$39=0%,"-",IF(J$2=0,"-",STIRLING!$B31))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291" t="str">
        <f>REPORT!Z4</f>
        <v>CLARITY</v>
      </c>
      <c r="B32" s="3">
        <f>IF($C$2=0,"-",AVERAGE(D32:L32))</f>
        <v>1</v>
      </c>
      <c r="C32" s="206" t="s">
        <v>1</v>
      </c>
      <c r="D32" s="208">
        <f>IF(D$39=0%,"-",IF(D$2=0,"-",BRISBANE!$B32))</f>
        <v>1</v>
      </c>
      <c r="E32" s="208">
        <f>IF(E$39=0%,"-",IF(E$2=0,"-",CASEY!$B32))</f>
        <v>1</v>
      </c>
      <c r="F32" s="208">
        <f>IF(F$39=0%,"-",IF(F$2=0,"-",FRANKSTON!$B32))</f>
        <v>1</v>
      </c>
      <c r="G32" s="208">
        <f>IF(G$39=0%,"-",IF(G$2=0,"-",LAUNCESTON!$B32))</f>
        <v>1</v>
      </c>
      <c r="H32" s="208">
        <f>IF(H$39=0%,"-",IF(H$2=0,"-",MONASH!$B32))</f>
        <v>1</v>
      </c>
      <c r="I32" s="208">
        <f>IF(I$39=0%,"-",IF(I$2=0,"-",ONKAPARINGA!$B32))</f>
        <v>1</v>
      </c>
      <c r="J32" s="208">
        <f>IF(J$39=0%,"-",IF(J$2=0,"-",STIRLING!$B32))</f>
        <v>1</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4.7619047619047616E-2</v>
      </c>
      <c r="C34" s="212" t="s">
        <v>41</v>
      </c>
      <c r="D34" s="213">
        <f>IF(D$39=0%,"-",BRISBANE!$B$34)</f>
        <v>0</v>
      </c>
      <c r="E34" s="213">
        <f>IF(E$39=0%,"-",CASEY!$B$34)</f>
        <v>0</v>
      </c>
      <c r="F34" s="213">
        <f>IF(F$39=0%,"-",FRANKSTON!$B$34)</f>
        <v>0.33333333333333331</v>
      </c>
      <c r="G34" s="213">
        <f>IF(G$39=0%,"-",LAUNCESTON!$B$34)</f>
        <v>0</v>
      </c>
      <c r="H34" s="213">
        <f>IF(H$39=0%,"-",MONASH!$B$34)</f>
        <v>0</v>
      </c>
      <c r="I34" s="213">
        <f>IF(I$39=0%,"-",ONKAPARINGA!$B$34)</f>
        <v>0</v>
      </c>
      <c r="J34" s="213">
        <f>IF(J$39=0%,"-",STIRLING!$B$34)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IF(D$39=0%,"-",IF(D$2=0,"-",BRISBANE!$B35))</f>
        <v>0</v>
      </c>
      <c r="E35" s="207">
        <f>IF(E$39=0%,"-",IF(E$2=0,"-",CASEY!$B35))</f>
        <v>0</v>
      </c>
      <c r="F35" s="207">
        <f>IF(F$39=0%,"-",IF(F$2=0,"-",FRANKSTON!$B35))</f>
        <v>0</v>
      </c>
      <c r="G35" s="207">
        <f>IF(G$39=0%,"-",IF(G$2=0,"-",LAUNCESTON!$B35))</f>
        <v>0</v>
      </c>
      <c r="H35" s="207">
        <f>IF(H$39=0%,"-",IF(H$2=0,"-",MONASH!$B35))</f>
        <v>0</v>
      </c>
      <c r="I35" s="207">
        <f>IF(I$39=0%,"-",IF(I$2=0,"-",ONKAPARINGA!$B35))</f>
        <v>0</v>
      </c>
      <c r="J35" s="207">
        <f>IF(J$39=0%,"-",IF(J$2=0,"-",STIRLING!$B35))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4.7619047619047616E-2</v>
      </c>
      <c r="C36" s="216">
        <v>-0.1</v>
      </c>
      <c r="D36" s="208">
        <f>IF(D$39=0%,"-",IF(D$2=0,"-",BRISBANE!$B36))</f>
        <v>0</v>
      </c>
      <c r="E36" s="208">
        <f>IF(E$39=0%,"-",IF(E$2=0,"-",CASEY!$B36))</f>
        <v>0</v>
      </c>
      <c r="F36" s="208">
        <f>IF(F$39=0%,"-",IF(F$2=0,"-",FRANKSTON!$B36))</f>
        <v>0.33333333333333331</v>
      </c>
      <c r="G36" s="208">
        <f>IF(G$39=0%,"-",IF(G$2=0,"-",LAUNCESTON!$B36))</f>
        <v>0</v>
      </c>
      <c r="H36" s="208">
        <f>IF(H$39=0%,"-",IF(H$2=0,"-",MONASH!$B36))</f>
        <v>0</v>
      </c>
      <c r="I36" s="208">
        <f>IF(I$39=0%,"-",IF(I$2=0,"-",ONKAPARINGA!$B36))</f>
        <v>0</v>
      </c>
      <c r="J36" s="208">
        <f>IF(J$39=0%,"-",IF(J$2=0,"-",STIRLING!$B36))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0.90476190476190477</v>
      </c>
      <c r="C39" s="219" t="s">
        <v>1</v>
      </c>
      <c r="D39" s="208">
        <f>IF(BRISBANE!$C2=0,"-",BRISBANE!$B39)</f>
        <v>1</v>
      </c>
      <c r="E39" s="208">
        <f>IF(CASEY!$C2=0,"-",CASEY!$B39)</f>
        <v>0.66666666666666663</v>
      </c>
      <c r="F39" s="208">
        <f>IF(FRANKSTON!$C2=0,"-",FRANKSTON!$B39)</f>
        <v>1</v>
      </c>
      <c r="G39" s="208">
        <f>IF(LAUNCESTON!$C2=0,"-",LAUNCESTON!$B39)</f>
        <v>0.66666666666666663</v>
      </c>
      <c r="H39" s="208">
        <f>IF(MONASH!$C2=0,"-",MONASH!$B39)</f>
        <v>1</v>
      </c>
      <c r="I39" s="208">
        <f>IF(ONKAPARINGA!$C2=0,"-",ONKAPARINGA!$B39)</f>
        <v>1</v>
      </c>
      <c r="J39" s="208">
        <f>IF(STIRLING!$C2=0,"-",STIRLING!$B39)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90">
        <f t="shared" si="2"/>
        <v>2.0166446208112875E-3</v>
      </c>
      <c r="C40" s="220" t="s">
        <v>1</v>
      </c>
      <c r="D40" s="290">
        <f>IF(D$39=0%,"-",IF(D$2=0,"-",BRISBANE!$B40))</f>
        <v>3.4182098765432102E-3</v>
      </c>
      <c r="E40" s="290">
        <f>IF(E$39=0%,"-",IF(E$2=0,"-",CASEY!$B40))</f>
        <v>1.3368055555555555E-3</v>
      </c>
      <c r="F40" s="290">
        <f>IF(F$39=0%,"-",IF(F$2=0,"-",FRANKSTON!$B40))</f>
        <v>2.0023148148148148E-3</v>
      </c>
      <c r="G40" s="290">
        <f>IF(G$39=0%,"-",IF(G$2=0,"-",LAUNCESTON!$B40))</f>
        <v>1.3252314814814815E-3</v>
      </c>
      <c r="H40" s="290">
        <f>IF(H$39=0%,"-",IF(H$2=0,"-",MONASH!$B40))</f>
        <v>1.4390432098765431E-3</v>
      </c>
      <c r="I40" s="290">
        <f>IF(I$39=0%,"-",IF(I$2=0,"-",ONKAPARINGA!$B40))</f>
        <v>1.9058641975308644E-3</v>
      </c>
      <c r="J40" s="290">
        <f>IF(J$39=0%,"-",IF(J$2=0,"-",STIRLING!$B40))</f>
        <v>2.6890432098765431E-3</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5.1428571428571432</v>
      </c>
      <c r="C41" s="219" t="s">
        <v>1</v>
      </c>
      <c r="D41" s="222">
        <f>IF(D$39=0%,"-",IF(D$2=0,"-",BRISBANE!$B41))</f>
        <v>6</v>
      </c>
      <c r="E41" s="222">
        <f>IF(E$39=0%,"-",IF(E$2=0,"-",CASEY!$B41))</f>
        <v>5</v>
      </c>
      <c r="F41" s="222">
        <f>IF(F$39=0%,"-",IF(F$2=0,"-",FRANKSTON!$B41))</f>
        <v>5</v>
      </c>
      <c r="G41" s="222">
        <f>IF(G$39=0%,"-",IF(G$2=0,"-",LAUNCESTON!$B41))</f>
        <v>4</v>
      </c>
      <c r="H41" s="222">
        <f>IF(H$39=0%,"-",IF(H$2=0,"-",MONASH!$B41))</f>
        <v>4.333333333333333</v>
      </c>
      <c r="I41" s="222">
        <f>IF(I$39=0%,"-",IF(I$2=0,"-",ONKAPARINGA!$B41))</f>
        <v>5.666666666666667</v>
      </c>
      <c r="J41" s="222">
        <f>IF(J$39=0%,"-",IF(J$2=0,"-",STIRLING!$B41))</f>
        <v>6</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0.7142857142857143</v>
      </c>
      <c r="C42" s="220" t="s">
        <v>1</v>
      </c>
      <c r="D42" s="223">
        <f>IF(D$39=0%,"-",IF(D$2=0,"-",BRISBANE!$B42))</f>
        <v>1</v>
      </c>
      <c r="E42" s="223">
        <f>IF(E$39=0%,"-",IF(E$2=0,"-",CASEY!$B42))</f>
        <v>0.5</v>
      </c>
      <c r="F42" s="223">
        <f>IF(F$39=0%,"-",IF(F$2=0,"-",FRANKSTON!$B42))</f>
        <v>1</v>
      </c>
      <c r="G42" s="223">
        <f>IF(G$39=0%,"-",IF(G$2=0,"-",LAUNCESTON!$B42))</f>
        <v>0.5</v>
      </c>
      <c r="H42" s="223">
        <f>IF(H$39=0%,"-",IF(H$2=0,"-",MONASH!$B42))</f>
        <v>0.66666666666666663</v>
      </c>
      <c r="I42" s="223">
        <f>IF(I$39=0%,"-",IF(I$2=0,"-",ONKAPARINGA!$B42))</f>
        <v>0.66666666666666663</v>
      </c>
      <c r="J42" s="223">
        <f>IF(J$39=0%,"-",IF(J$2=0,"-",STIRLING!$B42))</f>
        <v>0.66666666666666663</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0.49999999999999994</v>
      </c>
      <c r="C43" s="219" t="s">
        <v>1</v>
      </c>
      <c r="D43" s="208">
        <f>IF(D$39=0%,"-",IF(D$2=0,"-",BRISBANE!$B43))</f>
        <v>0.66666666666666663</v>
      </c>
      <c r="E43" s="208">
        <f>IF(E$39=0%,"-",IF(E$2=0,"-",CASEY!$B43))</f>
        <v>0</v>
      </c>
      <c r="F43" s="208">
        <f>IF(F$39=0%,"-",IF(F$2=0,"-",FRANKSTON!$B43))</f>
        <v>0.66666666666666663</v>
      </c>
      <c r="G43" s="208">
        <f>IF(G$39=0%,"-",IF(G$2=0,"-",LAUNCESTON!$B43))</f>
        <v>0.5</v>
      </c>
      <c r="H43" s="208">
        <f>IF(H$39=0%,"-",IF(H$2=0,"-",MONASH!$B43))</f>
        <v>0.33333333333333331</v>
      </c>
      <c r="I43" s="208">
        <f>IF(I$39=0%,"-",IF(I$2=0,"-",ONKAPARINGA!$B43))</f>
        <v>0.66666666666666663</v>
      </c>
      <c r="J43" s="208">
        <f>IF(J$39=0%,"-",IF(J$2=0,"-",STIRLING!$B43))</f>
        <v>0.66666666666666663</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0.76190476190476186</v>
      </c>
      <c r="C44" s="220" t="s">
        <v>1</v>
      </c>
      <c r="D44" s="223">
        <f>IF(D$39=0%,"-",IF(D$2=0,"-",BRISBANE!$B44))</f>
        <v>1</v>
      </c>
      <c r="E44" s="223">
        <f>IF(E$39=0%,"-",IF(E$2=0,"-",CASEY!$B44))</f>
        <v>0.5</v>
      </c>
      <c r="F44" s="223">
        <f>IF(F$39=0%,"-",IF(F$2=0,"-",FRANKSTON!$B44))</f>
        <v>1</v>
      </c>
      <c r="G44" s="223">
        <f>IF(G$39=0%,"-",IF(G$2=0,"-",LAUNCESTON!$B44))</f>
        <v>0.5</v>
      </c>
      <c r="H44" s="223">
        <f>IF(H$39=0%,"-",IF(H$2=0,"-",MONASH!$B44))</f>
        <v>0.66666666666666663</v>
      </c>
      <c r="I44" s="223">
        <f>IF(I$39=0%,"-",IF(I$2=0,"-",ONKAPARINGA!$B44))</f>
        <v>0.66666666666666663</v>
      </c>
      <c r="J44" s="223">
        <f>IF(J$39=0%,"-",IF(J$2=0,"-",STIRLING!$B44))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0.7142857142857143</v>
      </c>
      <c r="C45" s="219" t="s">
        <v>1</v>
      </c>
      <c r="D45" s="208">
        <f>IF(D$39=0%,"-",IF(D$2=0,"-",BRISBANE!$B45))</f>
        <v>0.66666666666666663</v>
      </c>
      <c r="E45" s="208">
        <f>IF(E$39=0%,"-",IF(E$2=0,"-",CASEY!$B45))</f>
        <v>1</v>
      </c>
      <c r="F45" s="208">
        <f>IF(F$39=0%,"-",IF(F$2=0,"-",FRANKSTON!$B45))</f>
        <v>0.66666666666666663</v>
      </c>
      <c r="G45" s="208">
        <f>IF(G$39=0%,"-",IF(G$2=0,"-",LAUNCESTON!$B45))</f>
        <v>0</v>
      </c>
      <c r="H45" s="208">
        <f>IF(H$39=0%,"-",IF(H$2=0,"-",MONASH!$B45))</f>
        <v>0.66666666666666663</v>
      </c>
      <c r="I45" s="208">
        <f>IF(I$39=0%,"-",IF(I$2=0,"-",ONKAPARINGA!$B45))</f>
        <v>1</v>
      </c>
      <c r="J45" s="208">
        <f>IF(J$39=0%,"-",IF(J$2=0,"-",STIRLING!$B45))</f>
        <v>1</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BRISBANE CITY</v>
      </c>
      <c r="E47" s="227" t="str">
        <f t="shared" si="3"/>
        <v>CITY OF CASEY</v>
      </c>
      <c r="F47" s="227" t="str">
        <f t="shared" si="3"/>
        <v>FRANKSTON CITY</v>
      </c>
      <c r="G47" s="227" t="str">
        <f t="shared" si="3"/>
        <v>CITY OF LAUNCESTON</v>
      </c>
      <c r="H47" s="227" t="str">
        <f t="shared" si="3"/>
        <v>MONASH CITY</v>
      </c>
      <c r="I47" s="227" t="str">
        <f t="shared" si="3"/>
        <v>CITY OF ONKAPARINGA</v>
      </c>
      <c r="J47" s="227" t="str">
        <f t="shared" si="3"/>
        <v>CITY OF STIRLING</v>
      </c>
      <c r="K47" s="227" t="str">
        <f t="shared" si="3"/>
        <v>COUNCILS 8</v>
      </c>
      <c r="L47" s="227" t="str">
        <f t="shared" si="3"/>
        <v>COUNCILS 9</v>
      </c>
      <c r="M47" s="227" t="str">
        <f t="shared" ref="M47:AG47" si="4">M1</f>
        <v>COUNCILS 10</v>
      </c>
      <c r="N47" s="227" t="str">
        <f t="shared" si="4"/>
        <v>COUNCILS 11</v>
      </c>
      <c r="O47" s="227" t="str">
        <f t="shared" si="4"/>
        <v>COUNCILS 12</v>
      </c>
      <c r="P47" s="227" t="str">
        <f t="shared" si="4"/>
        <v>COUNCILS 13</v>
      </c>
      <c r="Q47" s="227" t="str">
        <f t="shared" si="4"/>
        <v>COUNCILS 14</v>
      </c>
      <c r="R47" s="227" t="str">
        <f t="shared" si="4"/>
        <v>COUNCILS 15</v>
      </c>
      <c r="S47" s="227" t="str">
        <f t="shared" si="4"/>
        <v>COUNCILS 16</v>
      </c>
      <c r="T47" s="227" t="str">
        <f t="shared" si="4"/>
        <v>COUNCILS 17</v>
      </c>
      <c r="U47" s="227" t="str">
        <f t="shared" si="4"/>
        <v>COUNCILS 18</v>
      </c>
      <c r="V47" s="227" t="str">
        <f t="shared" si="4"/>
        <v>COUNCILS 19</v>
      </c>
      <c r="W47" s="227" t="str">
        <f t="shared" si="4"/>
        <v>COUNCILS 20</v>
      </c>
      <c r="X47" s="227" t="str">
        <f t="shared" si="4"/>
        <v>COUNCILS 21</v>
      </c>
      <c r="Y47" s="227" t="str">
        <f t="shared" si="4"/>
        <v>COUNCILS 22</v>
      </c>
      <c r="Z47" s="227" t="str">
        <f t="shared" si="4"/>
        <v>COUNCILS 23</v>
      </c>
      <c r="AA47" s="227" t="str">
        <f t="shared" si="4"/>
        <v>COUNCILS 24</v>
      </c>
      <c r="AB47" s="227"/>
      <c r="AC47" s="227"/>
      <c r="AD47" s="227"/>
      <c r="AE47" s="227" t="str">
        <f t="shared" si="4"/>
        <v>COUNCILS 28</v>
      </c>
      <c r="AF47" s="227" t="str">
        <f t="shared" si="4"/>
        <v>COUNCILS 29</v>
      </c>
      <c r="AG47" s="227" t="str">
        <f t="shared" si="4"/>
        <v>COUNCILS 30</v>
      </c>
    </row>
    <row r="48" spans="1:35" ht="21" x14ac:dyDescent="0.2">
      <c r="A48" s="88" t="s">
        <v>61</v>
      </c>
      <c r="B48" s="228">
        <f>IF(B51="-","-",AVERAGE(D48:L48))</f>
        <v>0.54603854875283442</v>
      </c>
      <c r="C48" s="229" t="s">
        <v>1</v>
      </c>
      <c r="D48" s="89">
        <f t="shared" ref="D48:I48" si="5">IF(D51="-","-",IF(D$67&lt;0%,0%,D$67))</f>
        <v>0.67784722222222216</v>
      </c>
      <c r="E48" s="89">
        <f t="shared" si="5"/>
        <v>0.34992261904761912</v>
      </c>
      <c r="F48" s="89">
        <f t="shared" si="5"/>
        <v>0.56843055555555555</v>
      </c>
      <c r="G48" s="89">
        <f t="shared" si="5"/>
        <v>0.34454166666666663</v>
      </c>
      <c r="H48" s="89">
        <f t="shared" si="5"/>
        <v>0.56333333333333324</v>
      </c>
      <c r="I48" s="89">
        <f t="shared" si="5"/>
        <v>0.64687499999999998</v>
      </c>
      <c r="J48" s="89">
        <f>IF(J51="-","-",IF(J$67&lt;0%,0%,J$67))</f>
        <v>0.67131944444444447</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0.63087585034013605</v>
      </c>
      <c r="C51" s="93">
        <v>0.3</v>
      </c>
      <c r="D51" s="281">
        <f>[1]OVERALL!D$4</f>
        <v>0.79791666666666661</v>
      </c>
      <c r="E51" s="281">
        <f>[1]OVERALL!E$4</f>
        <v>0.16293650793650796</v>
      </c>
      <c r="F51" s="281">
        <f>[1]OVERALL!F$4</f>
        <v>0.66652777777777772</v>
      </c>
      <c r="G51" s="281">
        <f>[1]OVERALL!G$4</f>
        <v>0.39291666666666664</v>
      </c>
      <c r="H51" s="281">
        <f>[1]OVERALL!H$4</f>
        <v>0.86666666666666659</v>
      </c>
      <c r="I51" s="281">
        <f>[1]OVERALL!I$4</f>
        <v>0.75624999999999998</v>
      </c>
      <c r="J51" s="281">
        <f>[1]OVERALL!J$4</f>
        <v>0.77291666666666659</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0.55049603174603179</v>
      </c>
      <c r="C52" s="93">
        <v>0.7</v>
      </c>
      <c r="D52" s="94">
        <f t="shared" ref="D52:J52" si="6">D4</f>
        <v>0.62638888888888888</v>
      </c>
      <c r="E52" s="94">
        <f t="shared" si="6"/>
        <v>0.57291666666666674</v>
      </c>
      <c r="F52" s="94">
        <f t="shared" si="6"/>
        <v>0.52638888888888891</v>
      </c>
      <c r="G52" s="94">
        <f t="shared" si="6"/>
        <v>0.46666666666666667</v>
      </c>
      <c r="H52" s="94">
        <f t="shared" si="6"/>
        <v>0.43333333333333329</v>
      </c>
      <c r="I52" s="94">
        <f t="shared" si="6"/>
        <v>0.6</v>
      </c>
      <c r="J52" s="94">
        <f t="shared" si="6"/>
        <v>0.62777777777777788</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0.1892627551020408</v>
      </c>
      <c r="C55" s="245"/>
      <c r="D55" s="97">
        <f t="shared" ref="D55:I55" si="7">IF(D51="-","-",D51*$C$51)</f>
        <v>0.23937499999999998</v>
      </c>
      <c r="E55" s="97">
        <f t="shared" si="7"/>
        <v>4.8880952380952386E-2</v>
      </c>
      <c r="F55" s="97">
        <f t="shared" si="7"/>
        <v>0.19995833333333332</v>
      </c>
      <c r="G55" s="97">
        <f t="shared" si="7"/>
        <v>0.11787499999999998</v>
      </c>
      <c r="H55" s="97">
        <f t="shared" si="7"/>
        <v>0.25999999999999995</v>
      </c>
      <c r="I55" s="97">
        <f t="shared" si="7"/>
        <v>0.22687499999999999</v>
      </c>
      <c r="J55" s="97">
        <f>IF(J51="-","-",J51*$C$51)</f>
        <v>0.23187499999999997</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0.38534722222222223</v>
      </c>
      <c r="C56" s="245"/>
      <c r="D56" s="98">
        <f t="shared" ref="D56:J56" si="8">IF(D52="-","-",D52*$C$52)</f>
        <v>0.43847222222222221</v>
      </c>
      <c r="E56" s="98">
        <f t="shared" si="8"/>
        <v>0.40104166666666669</v>
      </c>
      <c r="F56" s="98">
        <f t="shared" si="8"/>
        <v>0.3684722222222222</v>
      </c>
      <c r="G56" s="98">
        <f t="shared" si="8"/>
        <v>0.32666666666666666</v>
      </c>
      <c r="H56" s="98">
        <f t="shared" si="8"/>
        <v>0.30333333333333329</v>
      </c>
      <c r="I56" s="98">
        <f t="shared" si="8"/>
        <v>0.42</v>
      </c>
      <c r="J56" s="98">
        <f t="shared" si="8"/>
        <v>0.43944444444444447</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0.57460997732426311</v>
      </c>
      <c r="C57" s="240" t="s">
        <v>1</v>
      </c>
      <c r="D57" s="100">
        <f t="shared" ref="D57:I57" si="9">IF(D51="-","-",SUM(D55:D56))</f>
        <v>0.67784722222222216</v>
      </c>
      <c r="E57" s="100">
        <f t="shared" si="9"/>
        <v>0.4499226190476191</v>
      </c>
      <c r="F57" s="100">
        <f t="shared" si="9"/>
        <v>0.56843055555555555</v>
      </c>
      <c r="G57" s="100">
        <f t="shared" si="9"/>
        <v>0.44454166666666661</v>
      </c>
      <c r="H57" s="100">
        <f t="shared" si="9"/>
        <v>0.56333333333333324</v>
      </c>
      <c r="I57" s="100">
        <f t="shared" si="9"/>
        <v>0.64687499999999998</v>
      </c>
      <c r="J57" s="100">
        <f>IF(J51="-","-",SUM(J55:J56))</f>
        <v>0.67131944444444447</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0.90476190476190477</v>
      </c>
      <c r="C59" s="259"/>
      <c r="D59" s="102">
        <f t="shared" ref="D59:J59" si="10">D39</f>
        <v>1</v>
      </c>
      <c r="E59" s="102">
        <f t="shared" si="10"/>
        <v>0.66666666666666663</v>
      </c>
      <c r="F59" s="102">
        <f t="shared" si="10"/>
        <v>1</v>
      </c>
      <c r="G59" s="102">
        <f t="shared" si="10"/>
        <v>0.66666666666666663</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48" t="s">
        <v>1</v>
      </c>
      <c r="C60" s="349"/>
      <c r="D60" s="104">
        <f t="shared" ref="D60:I60" si="11">IF(D51="-","-",SUM(D63:D66))</f>
        <v>0</v>
      </c>
      <c r="E60" s="104">
        <f t="shared" si="11"/>
        <v>0.1</v>
      </c>
      <c r="F60" s="104">
        <f t="shared" si="11"/>
        <v>0</v>
      </c>
      <c r="G60" s="104">
        <f t="shared" si="11"/>
        <v>0.1</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2">
        <f t="shared" ref="D63:J63" si="12">IF(D59&gt;75%, $B$63, "-")</f>
        <v>0</v>
      </c>
      <c r="E63" s="262" t="str">
        <f t="shared" si="12"/>
        <v>-</v>
      </c>
      <c r="F63" s="262">
        <f t="shared" si="12"/>
        <v>0</v>
      </c>
      <c r="G63" s="262" t="str">
        <f t="shared" si="12"/>
        <v>-</v>
      </c>
      <c r="H63" s="262">
        <f t="shared" si="12"/>
        <v>0</v>
      </c>
      <c r="I63" s="262">
        <f t="shared" si="12"/>
        <v>0</v>
      </c>
      <c r="J63" s="262">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2" t="str">
        <f t="shared" ref="D64:J64" si="13">IF(D59&gt;50%, IF(D59&lt;=75%, $B$64, "-"), "-")</f>
        <v>-</v>
      </c>
      <c r="E64" s="262">
        <f t="shared" si="13"/>
        <v>0.1</v>
      </c>
      <c r="F64" s="262" t="str">
        <f t="shared" si="13"/>
        <v>-</v>
      </c>
      <c r="G64" s="262">
        <f t="shared" si="13"/>
        <v>0.1</v>
      </c>
      <c r="H64" s="262" t="str">
        <f t="shared" si="13"/>
        <v>-</v>
      </c>
      <c r="I64" s="262" t="str">
        <f t="shared" si="13"/>
        <v>-</v>
      </c>
      <c r="J64" s="262"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2" t="str">
        <f t="shared" ref="D65:J65" si="14">IF(D59&lt;=50%, IF(D59&gt;25%, $B$65, "-"), "-")</f>
        <v>-</v>
      </c>
      <c r="E65" s="262" t="str">
        <f t="shared" si="14"/>
        <v>-</v>
      </c>
      <c r="F65" s="262" t="str">
        <f t="shared" si="14"/>
        <v>-</v>
      </c>
      <c r="G65" s="262" t="str">
        <f t="shared" si="14"/>
        <v>-</v>
      </c>
      <c r="H65" s="262" t="str">
        <f t="shared" si="14"/>
        <v>-</v>
      </c>
      <c r="I65" s="262" t="str">
        <f t="shared" si="14"/>
        <v>-</v>
      </c>
      <c r="J65" s="262"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2" t="str">
        <f t="shared" ref="D66:J66" si="15">IF(D59&lt;=25%, $B$66, "-")</f>
        <v>-</v>
      </c>
      <c r="E66" s="262" t="str">
        <f t="shared" si="15"/>
        <v>-</v>
      </c>
      <c r="F66" s="262" t="str">
        <f t="shared" si="15"/>
        <v>-</v>
      </c>
      <c r="G66" s="262" t="str">
        <f t="shared" si="15"/>
        <v>-</v>
      </c>
      <c r="H66" s="262" t="str">
        <f t="shared" si="15"/>
        <v>-</v>
      </c>
      <c r="I66" s="262" t="str">
        <f t="shared" si="15"/>
        <v>-</v>
      </c>
      <c r="J66" s="262"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0.67784722222222216</v>
      </c>
      <c r="E67" s="107">
        <f t="shared" si="16"/>
        <v>0.34992261904761912</v>
      </c>
      <c r="F67" s="107">
        <f t="shared" si="16"/>
        <v>0.56843055555555555</v>
      </c>
      <c r="G67" s="107">
        <f t="shared" si="16"/>
        <v>0.34454166666666663</v>
      </c>
      <c r="H67" s="107">
        <f t="shared" si="16"/>
        <v>0.56333333333333324</v>
      </c>
      <c r="I67" s="107">
        <f t="shared" si="16"/>
        <v>0.64687499999999998</v>
      </c>
      <c r="J67" s="107">
        <f>IF(J51="-","-",J57-J60)</f>
        <v>0.67131944444444447</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5" customFormat="1" x14ac:dyDescent="0.2">
      <c r="A69" s="111" t="s">
        <v>81</v>
      </c>
      <c r="B69" s="282">
        <f>[1]OVERALL!$B$70</f>
        <v>2.2277336860670196E-3</v>
      </c>
      <c r="C69" s="266"/>
      <c r="D69" s="282">
        <f>[1]OVERALL!D$70</f>
        <v>5.4398148148148155E-4</v>
      </c>
      <c r="E69" s="282">
        <f>[1]OVERALL!E$70</f>
        <v>5.420524691358025E-3</v>
      </c>
      <c r="F69" s="282">
        <f>[1]OVERALL!F$70</f>
        <v>3.7654320987654324E-3</v>
      </c>
      <c r="G69" s="282">
        <f>[1]OVERALL!G$70</f>
        <v>1.6319444444444443E-3</v>
      </c>
      <c r="H69" s="282">
        <f>[1]OVERALL!H$70</f>
        <v>6.4429012345679009E-4</v>
      </c>
      <c r="I69" s="282">
        <f>[1]OVERALL!I$70</f>
        <v>2.6504629629629634E-3</v>
      </c>
      <c r="J69" s="282">
        <f>[1]OVERALL!J$70</f>
        <v>9.3749999999999997E-4</v>
      </c>
    </row>
    <row r="70" spans="1:33" s="265" customFormat="1" x14ac:dyDescent="0.2">
      <c r="A70" s="266" t="s">
        <v>40</v>
      </c>
      <c r="B70" s="267">
        <f>B40</f>
        <v>2.0166446208112875E-3</v>
      </c>
      <c r="C70" s="266"/>
      <c r="D70" s="289">
        <f t="shared" ref="D70:I70" si="17">D40</f>
        <v>3.4182098765432102E-3</v>
      </c>
      <c r="E70" s="289">
        <f t="shared" si="17"/>
        <v>1.3368055555555555E-3</v>
      </c>
      <c r="F70" s="289">
        <f t="shared" si="17"/>
        <v>2.0023148148148148E-3</v>
      </c>
      <c r="G70" s="289">
        <f t="shared" si="17"/>
        <v>1.3252314814814815E-3</v>
      </c>
      <c r="H70" s="289">
        <f t="shared" si="17"/>
        <v>1.4390432098765431E-3</v>
      </c>
      <c r="I70" s="289">
        <f t="shared" si="17"/>
        <v>1.9058641975308644E-3</v>
      </c>
      <c r="J70" s="289">
        <f>J40</f>
        <v>2.6890432098765431E-3</v>
      </c>
    </row>
    <row r="71" spans="1:33" s="265" customFormat="1" x14ac:dyDescent="0.2">
      <c r="A71" s="249" t="s">
        <v>80</v>
      </c>
      <c r="B71" s="268">
        <f>IF(B69="-","-",SUM(B69:B70))</f>
        <v>4.2443783068783075E-3</v>
      </c>
      <c r="C71" s="266"/>
      <c r="D71" s="268">
        <f t="shared" ref="D71:I71" si="18">IF(D69="-","-",SUM(D69:D70))</f>
        <v>3.9621913580246918E-3</v>
      </c>
      <c r="E71" s="268">
        <f t="shared" si="18"/>
        <v>6.7573302469135805E-3</v>
      </c>
      <c r="F71" s="268">
        <f t="shared" si="18"/>
        <v>5.7677469135802469E-3</v>
      </c>
      <c r="G71" s="268">
        <f t="shared" si="18"/>
        <v>2.9571759259259256E-3</v>
      </c>
      <c r="H71" s="268">
        <f t="shared" si="18"/>
        <v>2.0833333333333333E-3</v>
      </c>
      <c r="I71" s="268">
        <f t="shared" si="18"/>
        <v>4.5563271604938281E-3</v>
      </c>
      <c r="J71" s="268">
        <f>IF(J69="-","-",SUM(J69:J70))</f>
        <v>3.6265432098765431E-3</v>
      </c>
    </row>
    <row r="73" spans="1:33" x14ac:dyDescent="0.2">
      <c r="J73" t="s">
        <v>83</v>
      </c>
    </row>
  </sheetData>
  <sortState xmlns:xlrd2="http://schemas.microsoft.com/office/spreadsheetml/2017/richdata2" ref="AI15:AI20">
    <sortCondition ref="AI15:AI20"/>
  </sortState>
  <mergeCells count="1">
    <mergeCell ref="B60:C60"/>
  </mergeCells>
  <phoneticPr fontId="22"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307" t="s">
        <v>125</v>
      </c>
      <c r="E2" s="293" t="s">
        <v>125</v>
      </c>
      <c r="F2" s="297" t="s">
        <v>137</v>
      </c>
    </row>
    <row r="3" spans="1:8" ht="19" x14ac:dyDescent="0.2">
      <c r="A3" s="32" t="str">
        <f>OVERALL!D1</f>
        <v>BRISBANE CITY</v>
      </c>
      <c r="B3" s="248">
        <f>OVERALL!D3</f>
        <v>0.67784722222222216</v>
      </c>
      <c r="C3" s="108" t="s">
        <v>73</v>
      </c>
      <c r="D3" s="109">
        <f>IF(D2="-","-",D57)</f>
        <v>0.6802083333333333</v>
      </c>
      <c r="E3" s="109">
        <f t="shared" ref="E3:F3" si="0">IF(E2="-","-",E57)</f>
        <v>0.6802083333333333</v>
      </c>
      <c r="F3" s="109">
        <f t="shared" si="0"/>
        <v>0.67312499999999997</v>
      </c>
    </row>
    <row r="4" spans="1:8" ht="18" customHeight="1" x14ac:dyDescent="0.2">
      <c r="A4" s="17" t="str">
        <f>OVERALL!A4</f>
        <v>QUALITY SCORE</v>
      </c>
      <c r="B4" s="38">
        <f>IF(C2=0, "-", IF(COUNTIF(D39:F39, "n")=C2, "-", IF(COUNT(D4:F4)=0, "-", AVERAGE(D4:F4))))</f>
        <v>0.62638888888888888</v>
      </c>
      <c r="C4" s="58" t="s">
        <v>1</v>
      </c>
      <c r="D4" s="38">
        <f>IF(D48&lt;0%,0%,IF(D$2="-","-",IF(D$39="n", "-", SUM(D$6,D$12,D$17,D$23,D$28,D$34))))</f>
        <v>0.62083333333333335</v>
      </c>
      <c r="E4" s="38">
        <f t="shared" ref="E4:F4" si="1">IF(E48&lt;0%,0%,IF(E$2="-","-",IF(E$39="n", "-", SUM(E$6,E$12,E$17,E$23,E$28,E$34))))</f>
        <v>0.62083333333333335</v>
      </c>
      <c r="F4" s="38">
        <f t="shared" si="1"/>
        <v>0.63749999999999996</v>
      </c>
      <c r="H4" s="12" t="s">
        <v>8</v>
      </c>
    </row>
    <row r="5" spans="1:8" ht="18" customHeight="1" x14ac:dyDescent="0.25">
      <c r="A5" s="57" t="s">
        <v>48</v>
      </c>
      <c r="B5" s="58">
        <f>IF(B6="-","-",AVERAGE(D5:F5))</f>
        <v>0.62638888888888888</v>
      </c>
      <c r="C5" s="58" t="s">
        <v>1</v>
      </c>
      <c r="D5" s="60">
        <f t="shared" ref="D5:F5" si="2">IF(D$2="","",IF(D$39="n", "", SUM(D$6,D$12,D$17,D$23,D$28)))</f>
        <v>0.62083333333333335</v>
      </c>
      <c r="E5" s="60">
        <f t="shared" si="2"/>
        <v>0.62083333333333335</v>
      </c>
      <c r="F5" s="60">
        <f t="shared" si="2"/>
        <v>0.63749999999999996</v>
      </c>
      <c r="H5" s="7" t="s">
        <v>16</v>
      </c>
    </row>
    <row r="6" spans="1:8" ht="18" customHeight="1" x14ac:dyDescent="0.2">
      <c r="A6" s="20" t="str">
        <f>OVERALL!A6</f>
        <v>ENGAGE</v>
      </c>
      <c r="B6" s="21">
        <f>IF(C11=0,"-",AVERAGE(B7:B10))</f>
        <v>0.16666666666666666</v>
      </c>
      <c r="C6" s="61" t="s">
        <v>0</v>
      </c>
      <c r="D6" s="28">
        <f>IF(D11=0,"-",(COUNTIF(D7:D10, "y")/D11)*OVERALL!$C$6)</f>
        <v>0.05</v>
      </c>
      <c r="E6" s="28">
        <f>IF(E11=0,"-",(COUNTIF(E7:E10, "y")/E11)*OVERALL!$C$6)</f>
        <v>0.05</v>
      </c>
      <c r="F6" s="28">
        <f>IF(F11=0,"-",(COUNTIF(F7:F10, "y")/F11)*OVERALL!$C$6)</f>
        <v>0</v>
      </c>
    </row>
    <row r="7" spans="1:8" ht="18" customHeight="1" x14ac:dyDescent="0.2">
      <c r="A7" s="33" t="str">
        <f>OVERALL!A7</f>
        <v>WELCOME</v>
      </c>
      <c r="B7" s="3">
        <f>IF(C7=0,"-",COUNTIF(D7:F7,"y")/C7)</f>
        <v>0</v>
      </c>
      <c r="C7" s="26">
        <f>$C$2-COUNTIF(D7:F7, "-")</f>
        <v>3</v>
      </c>
      <c r="D7" s="306" t="s">
        <v>123</v>
      </c>
      <c r="E7" s="292" t="s">
        <v>123</v>
      </c>
      <c r="F7" s="296" t="s">
        <v>123</v>
      </c>
      <c r="H7" s="11" t="s">
        <v>2</v>
      </c>
    </row>
    <row r="8" spans="1:8" ht="18" customHeight="1" x14ac:dyDescent="0.25">
      <c r="A8" s="33" t="str">
        <f>OVERALL!A8</f>
        <v>INTENT</v>
      </c>
      <c r="B8" s="3">
        <f>IF(C8=0,"-",COUNTIF(D8:F8,"y")/C8)</f>
        <v>0.33333333333333331</v>
      </c>
      <c r="C8" s="26">
        <f>$C$2-COUNTIF(D8:F8, "-")</f>
        <v>3</v>
      </c>
      <c r="D8" s="306" t="s">
        <v>124</v>
      </c>
      <c r="E8" s="292" t="s">
        <v>123</v>
      </c>
      <c r="F8" s="296" t="s">
        <v>123</v>
      </c>
      <c r="H8" s="7" t="s">
        <v>15</v>
      </c>
    </row>
    <row r="9" spans="1:8" ht="18" customHeight="1" x14ac:dyDescent="0.2">
      <c r="A9" s="33" t="str">
        <f>OVERALL!A9</f>
        <v>NAME</v>
      </c>
      <c r="B9" s="3">
        <f>IF(C9=0,"-",COUNTIF(D9:F9,"y")/C9)</f>
        <v>0.33333333333333331</v>
      </c>
      <c r="C9" s="26">
        <f>$C$2-COUNTIF(D9:F9, "-")</f>
        <v>3</v>
      </c>
      <c r="D9" s="306" t="s">
        <v>123</v>
      </c>
      <c r="E9" s="292" t="s">
        <v>124</v>
      </c>
      <c r="F9" s="296" t="s">
        <v>123</v>
      </c>
      <c r="H9" t="s">
        <v>1</v>
      </c>
    </row>
    <row r="10" spans="1:8" ht="18" customHeight="1" x14ac:dyDescent="0.2">
      <c r="A10" s="33" t="str">
        <f>OVERALL!A10</f>
        <v>BRIDGE</v>
      </c>
      <c r="B10" s="3">
        <f>IF(C10=0,"-",COUNTIF(D10:F10,"y")/C10)</f>
        <v>0</v>
      </c>
      <c r="C10" s="26">
        <f>$C$2-COUNTIF(D10:F10, "-")</f>
        <v>3</v>
      </c>
      <c r="D10" s="306" t="s">
        <v>123</v>
      </c>
      <c r="E10" s="292" t="s">
        <v>123</v>
      </c>
      <c r="F10" s="296"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0.77777777777777768</v>
      </c>
      <c r="C12" s="1" t="s">
        <v>1</v>
      </c>
      <c r="D12" s="28">
        <f>IF(D16=0,"-",(COUNTIF(D13:D15, "y")/D16)*OVERALL!$C$12)</f>
        <v>0.13333333333333333</v>
      </c>
      <c r="E12" s="28">
        <f>IF(E16=0,"-",(COUNTIF(E13:E15, "y")/E16)*OVERALL!$C$12)</f>
        <v>0.13333333333333333</v>
      </c>
      <c r="F12" s="28">
        <f>IF(F16=0,"-",(COUNTIF(F13:F15, "y")/F16)*OVERALL!$C$12)</f>
        <v>0.2</v>
      </c>
      <c r="H12" t="s">
        <v>1</v>
      </c>
    </row>
    <row r="13" spans="1:8" ht="18" customHeight="1" x14ac:dyDescent="0.2">
      <c r="A13" s="33" t="str">
        <f>OVERALL!A13</f>
        <v>CONVERSE</v>
      </c>
      <c r="B13" s="3">
        <f>IF(C13=0,"-",COUNTIF(D13:F13,"y")/C13)</f>
        <v>0.33333333333333331</v>
      </c>
      <c r="C13" s="26">
        <f>$C$2-COUNTIF(D13:F13, "-")</f>
        <v>3</v>
      </c>
      <c r="D13" s="306" t="s">
        <v>123</v>
      </c>
      <c r="E13" s="292" t="s">
        <v>123</v>
      </c>
      <c r="F13" s="296" t="s">
        <v>124</v>
      </c>
      <c r="H13" s="14" t="s">
        <v>4</v>
      </c>
    </row>
    <row r="14" spans="1:8" ht="18" customHeight="1" x14ac:dyDescent="0.25">
      <c r="A14" s="33" t="str">
        <f>OVERALL!A14</f>
        <v>LISTEN</v>
      </c>
      <c r="B14" s="3">
        <f>IF(C14=0,"-",COUNTIF(D14:F14,"y")/C14)</f>
        <v>1</v>
      </c>
      <c r="C14" s="26">
        <f>$C$2-COUNTIF(D14:F14, "-")</f>
        <v>3</v>
      </c>
      <c r="D14" s="306" t="s">
        <v>124</v>
      </c>
      <c r="E14" s="292" t="s">
        <v>124</v>
      </c>
      <c r="F14" s="296" t="s">
        <v>124</v>
      </c>
      <c r="H14" s="9" t="s">
        <v>13</v>
      </c>
    </row>
    <row r="15" spans="1:8" ht="18" customHeight="1" x14ac:dyDescent="0.2">
      <c r="A15" s="33" t="str">
        <f>OVERALL!A15</f>
        <v>CONFIRM</v>
      </c>
      <c r="B15" s="3">
        <f>IF(C15=0,"-",COUNTIF(D15:F15,"y")/C15)</f>
        <v>1</v>
      </c>
      <c r="C15" s="26">
        <f>$C$2-COUNTIF(D15:F15, "-")</f>
        <v>3</v>
      </c>
      <c r="D15" s="306" t="s">
        <v>124</v>
      </c>
      <c r="E15" s="292" t="s">
        <v>124</v>
      </c>
      <c r="F15" s="296"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306" t="s">
        <v>124</v>
      </c>
      <c r="E18" s="292" t="s">
        <v>124</v>
      </c>
      <c r="F18" s="296" t="s">
        <v>124</v>
      </c>
    </row>
    <row r="19" spans="1:11" ht="18" customHeight="1" x14ac:dyDescent="0.2">
      <c r="A19" s="33" t="str">
        <f>OVERALL!A19</f>
        <v>CHECK</v>
      </c>
      <c r="B19" s="3">
        <f>IF(C19=0,"-",COUNTIF(D19:F19,"y")/C19)</f>
        <v>0</v>
      </c>
      <c r="C19" s="26">
        <f>$C$2-COUNTIF(D19:F19, "-")</f>
        <v>3</v>
      </c>
      <c r="D19" s="306" t="s">
        <v>123</v>
      </c>
      <c r="E19" s="292" t="s">
        <v>123</v>
      </c>
      <c r="F19" s="296" t="s">
        <v>123</v>
      </c>
    </row>
    <row r="20" spans="1:11" ht="18" customHeight="1" x14ac:dyDescent="0.2">
      <c r="A20" s="33" t="str">
        <f>OVERALL!A20</f>
        <v>SEEK</v>
      </c>
      <c r="B20" s="3">
        <f>IF(C20=0,"-",COUNTIF(D20:F20,"y")/C20)</f>
        <v>1</v>
      </c>
      <c r="C20" s="26">
        <f>$C$2-COUNTIF(D20:F20, "-")</f>
        <v>3</v>
      </c>
      <c r="D20" s="306" t="s">
        <v>124</v>
      </c>
      <c r="E20" s="292" t="s">
        <v>124</v>
      </c>
      <c r="F20" s="296" t="s">
        <v>124</v>
      </c>
      <c r="H20" t="s">
        <v>1</v>
      </c>
    </row>
    <row r="21" spans="1:11" ht="18" customHeight="1" x14ac:dyDescent="0.2">
      <c r="A21" s="33" t="str">
        <f>OVERALL!A21</f>
        <v>CONFIDENCE</v>
      </c>
      <c r="B21" s="3">
        <f>IF(C21=0,"-",COUNTIF(D21:F21,"y")/C21)</f>
        <v>1</v>
      </c>
      <c r="C21" s="26">
        <f>$C$2-COUNTIF(D21:F21, "-")</f>
        <v>3</v>
      </c>
      <c r="D21" s="306" t="s">
        <v>124</v>
      </c>
      <c r="E21" s="292" t="s">
        <v>124</v>
      </c>
      <c r="F21" s="296"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306" t="s">
        <v>123</v>
      </c>
      <c r="E24" s="292" t="s">
        <v>123</v>
      </c>
      <c r="F24" s="296" t="s">
        <v>123</v>
      </c>
    </row>
    <row r="25" spans="1:11" ht="18" customHeight="1" x14ac:dyDescent="0.2">
      <c r="A25" s="33" t="str">
        <f>OVERALL!A25</f>
        <v>GRATITUDE</v>
      </c>
      <c r="B25" s="3">
        <f>IF(C25=0,"-",COUNTIF(D25:F25,"y")/C25)</f>
        <v>0</v>
      </c>
      <c r="C25" s="26">
        <f>$C$2-COUNTIF(D25:F25, "-")</f>
        <v>3</v>
      </c>
      <c r="D25" s="306" t="s">
        <v>123</v>
      </c>
      <c r="E25" s="292" t="s">
        <v>123</v>
      </c>
      <c r="F25" s="296" t="s">
        <v>123</v>
      </c>
    </row>
    <row r="26" spans="1:11" ht="18" customHeight="1" x14ac:dyDescent="0.2">
      <c r="A26" s="33" t="str">
        <f>OVERALL!A26</f>
        <v>THANKS</v>
      </c>
      <c r="B26" s="3">
        <f>IF(C26=0,"-",COUNTIF(D26:F26,"y")/C26)</f>
        <v>1</v>
      </c>
      <c r="C26" s="26">
        <f>$C$2-COUNTIF(D26:F26, "-")</f>
        <v>3</v>
      </c>
      <c r="D26" s="306" t="s">
        <v>124</v>
      </c>
      <c r="E26" s="292" t="s">
        <v>124</v>
      </c>
      <c r="F26" s="296"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306" t="s">
        <v>124</v>
      </c>
      <c r="E29" s="292" t="s">
        <v>124</v>
      </c>
      <c r="F29" s="296" t="s">
        <v>124</v>
      </c>
    </row>
    <row r="30" spans="1:11" ht="18" customHeight="1" x14ac:dyDescent="0.2">
      <c r="A30" s="33" t="str">
        <f>OVERALL!A30</f>
        <v>EMPATHY</v>
      </c>
      <c r="B30" s="3">
        <f>IF(C30=0,"-",COUNTIF(D30:F30,"y")/C30)</f>
        <v>1</v>
      </c>
      <c r="C30" s="26">
        <f>$C$2-COUNTIF(D30:F30, "-")</f>
        <v>3</v>
      </c>
      <c r="D30" s="306" t="s">
        <v>124</v>
      </c>
      <c r="E30" s="292" t="s">
        <v>124</v>
      </c>
      <c r="F30" s="296" t="s">
        <v>124</v>
      </c>
    </row>
    <row r="31" spans="1:11" ht="18" customHeight="1" x14ac:dyDescent="0.2">
      <c r="A31" s="33" t="str">
        <f>OVERALL!A31</f>
        <v>CONTROL</v>
      </c>
      <c r="B31" s="3">
        <f>IF(C31=0,"-",COUNTIF(D31:F31,"y")/C31)</f>
        <v>1</v>
      </c>
      <c r="C31" s="26">
        <f>$C$2-COUNTIF(D31:F31, "-")</f>
        <v>3</v>
      </c>
      <c r="D31" s="306" t="s">
        <v>124</v>
      </c>
      <c r="E31" s="292" t="s">
        <v>124</v>
      </c>
      <c r="F31" s="296" t="s">
        <v>124</v>
      </c>
    </row>
    <row r="32" spans="1:11" ht="18" customHeight="1" x14ac:dyDescent="0.2">
      <c r="A32" s="33" t="str">
        <f>OVERALL!A32</f>
        <v>CLARITY</v>
      </c>
      <c r="B32" s="3">
        <f>IF(C32=0,"-",COUNTIF(D32:F32,"y")/C32)</f>
        <v>1</v>
      </c>
      <c r="C32" s="26">
        <f>$C$2-COUNTIF(D32:F32, "-")</f>
        <v>3</v>
      </c>
      <c r="D32" s="306" t="s">
        <v>124</v>
      </c>
      <c r="E32" s="292" t="s">
        <v>124</v>
      </c>
      <c r="F32" s="296"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6" t="s">
        <v>123</v>
      </c>
      <c r="E35" s="292" t="s">
        <v>123</v>
      </c>
      <c r="F35" s="296" t="s">
        <v>123</v>
      </c>
      <c r="H35" s="48">
        <v>-0.3</v>
      </c>
      <c r="J35" s="48"/>
      <c r="K35" s="48"/>
      <c r="L35" s="48"/>
    </row>
    <row r="36" spans="1:13" ht="18" customHeight="1" x14ac:dyDescent="0.2">
      <c r="A36" s="45" t="str">
        <f>OVERALL!A36</f>
        <v>AUDIO ISSUE (DISTRACTION)</v>
      </c>
      <c r="B36" s="3">
        <f>IF(C36=0,"-",COUNTIF(D36:F36,"y")/C36)</f>
        <v>0</v>
      </c>
      <c r="C36" s="26">
        <f>$C$2-COUNTIF(D36:F36, "-")</f>
        <v>3</v>
      </c>
      <c r="D36" s="306" t="s">
        <v>123</v>
      </c>
      <c r="E36" s="292" t="s">
        <v>123</v>
      </c>
      <c r="F36" s="296"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0" t="str">
        <f>OVERALL!A38</f>
        <v>ADDITIONAL INSIGHT</v>
      </c>
      <c r="B38" s="351"/>
      <c r="C38" s="10" t="s">
        <v>1</v>
      </c>
      <c r="D38" s="30"/>
      <c r="E38" s="30"/>
      <c r="F38" s="30"/>
    </row>
    <row r="39" spans="1:13" ht="18" customHeight="1" x14ac:dyDescent="0.2">
      <c r="A39" s="33" t="str">
        <f>OVERALL!A39</f>
        <v>CALL ANSWERED-QUALITY</v>
      </c>
      <c r="B39" s="3">
        <f>IF(C39=0,"-",COUNTIF(D39:F39, "y")/C39)</f>
        <v>1</v>
      </c>
      <c r="C39" s="26">
        <f t="shared" ref="C39:C45" si="9">$C$2-COUNTIF(D39:F39, "-")</f>
        <v>3</v>
      </c>
      <c r="D39" s="306" t="s">
        <v>124</v>
      </c>
      <c r="E39" s="292" t="s">
        <v>124</v>
      </c>
      <c r="F39" s="296" t="s">
        <v>124</v>
      </c>
    </row>
    <row r="40" spans="1:13" ht="18" customHeight="1" x14ac:dyDescent="0.2">
      <c r="A40" s="33" t="str">
        <f>OVERALL!A40</f>
        <v>TALK TIME</v>
      </c>
      <c r="B40" s="289">
        <f>IF(C40=0,"-",AVERAGE(D40:F40))</f>
        <v>3.4182098765432102E-3</v>
      </c>
      <c r="C40" s="26">
        <f t="shared" si="9"/>
        <v>3</v>
      </c>
      <c r="D40" s="280">
        <v>3.9236111111111112E-3</v>
      </c>
      <c r="E40" s="280">
        <v>4.0277777777777777E-3</v>
      </c>
      <c r="F40" s="280">
        <v>2.3032407407407407E-3</v>
      </c>
      <c r="G40" s="46"/>
      <c r="H40" s="265"/>
      <c r="I40" s="265"/>
      <c r="J40" s="265"/>
      <c r="K40" s="265"/>
      <c r="L40" s="265"/>
      <c r="M40" s="265"/>
    </row>
    <row r="41" spans="1:13" ht="18" customHeight="1" x14ac:dyDescent="0.2">
      <c r="A41" s="33" t="str">
        <f>OVERALL!A41</f>
        <v>ASSESSOR RATING (0-10)</v>
      </c>
      <c r="B41" s="286">
        <f>IF(C41=0,"-",SUM(D41:F41)/C41)</f>
        <v>6</v>
      </c>
      <c r="C41" s="26">
        <f t="shared" si="9"/>
        <v>3</v>
      </c>
      <c r="D41" s="285">
        <v>6</v>
      </c>
      <c r="E41" s="285">
        <v>6</v>
      </c>
      <c r="F41" s="285">
        <v>6</v>
      </c>
      <c r="G41" s="283"/>
      <c r="H41" s="284"/>
      <c r="I41" s="284"/>
      <c r="J41" s="284"/>
      <c r="K41" s="284"/>
      <c r="L41" s="284"/>
      <c r="M41" s="284"/>
    </row>
    <row r="42" spans="1:13" ht="18" customHeight="1" x14ac:dyDescent="0.2">
      <c r="A42" s="33" t="str">
        <f>OVERALL!A42</f>
        <v>EXPLAINED KEY FEATURES</v>
      </c>
      <c r="B42" s="3">
        <f>IF(C42=0,"-",COUNTIF(D42:F42, "y")/C42)</f>
        <v>1</v>
      </c>
      <c r="C42" s="26">
        <f t="shared" si="9"/>
        <v>3</v>
      </c>
      <c r="D42" s="306" t="s">
        <v>124</v>
      </c>
      <c r="E42" s="292" t="s">
        <v>124</v>
      </c>
      <c r="F42" s="296" t="s">
        <v>124</v>
      </c>
      <c r="G42" s="47"/>
      <c r="H42" t="s">
        <v>1</v>
      </c>
    </row>
    <row r="43" spans="1:13" ht="18" customHeight="1" x14ac:dyDescent="0.2">
      <c r="A43" s="33" t="str">
        <f>OVERALL!A43</f>
        <v>REVEALED PRICING</v>
      </c>
      <c r="B43" s="3">
        <f>IF(C43=0,"-",COUNTIF(D43:F43, "y")/C43)</f>
        <v>0.66666666666666663</v>
      </c>
      <c r="C43" s="26">
        <f t="shared" si="9"/>
        <v>3</v>
      </c>
      <c r="D43" s="306" t="s">
        <v>123</v>
      </c>
      <c r="E43" s="292" t="s">
        <v>124</v>
      </c>
      <c r="F43" s="296" t="s">
        <v>124</v>
      </c>
    </row>
    <row r="44" spans="1:13" ht="18" customHeight="1" x14ac:dyDescent="0.2">
      <c r="A44" s="33" t="str">
        <f>OVERALL!A44</f>
        <v>EXPLAINED ACTIONS &amp; PROCESS</v>
      </c>
      <c r="B44" s="3">
        <f>IF(C44=0,"-",COUNTIF(D44:F44, "y")/C44)</f>
        <v>1</v>
      </c>
      <c r="C44" s="26">
        <f t="shared" si="9"/>
        <v>3</v>
      </c>
      <c r="D44" s="306" t="s">
        <v>124</v>
      </c>
      <c r="E44" s="292" t="s">
        <v>124</v>
      </c>
      <c r="F44" s="296" t="s">
        <v>124</v>
      </c>
    </row>
    <row r="45" spans="1:13" ht="18" customHeight="1" x14ac:dyDescent="0.2">
      <c r="A45" s="33" t="str">
        <f>OVERALL!A45</f>
        <v>WEBSITE EDUCATION</v>
      </c>
      <c r="B45" s="3">
        <f>IF(C45=0,"-",COUNTIF(D45:F45, "y")/C45)</f>
        <v>0.66666666666666663</v>
      </c>
      <c r="C45" s="26">
        <f t="shared" si="9"/>
        <v>3</v>
      </c>
      <c r="D45" s="306" t="s">
        <v>124</v>
      </c>
      <c r="E45" s="292" t="s">
        <v>124</v>
      </c>
      <c r="F45" s="296" t="s">
        <v>123</v>
      </c>
    </row>
    <row r="46" spans="1:13" ht="18" customHeight="1" x14ac:dyDescent="0.2">
      <c r="A46" s="18"/>
      <c r="B46" s="3"/>
      <c r="C46" s="26"/>
      <c r="D46" s="263"/>
      <c r="E46" s="263"/>
      <c r="F46" s="263"/>
    </row>
    <row r="47" spans="1:13" ht="180" x14ac:dyDescent="0.2">
      <c r="A47" s="25" t="s">
        <v>1</v>
      </c>
      <c r="B47" s="352" t="s">
        <v>35</v>
      </c>
      <c r="C47" s="353"/>
      <c r="D47" s="23" t="s">
        <v>151</v>
      </c>
      <c r="E47" s="23" t="s">
        <v>126</v>
      </c>
      <c r="F47" s="23" t="s">
        <v>138</v>
      </c>
    </row>
    <row r="48" spans="1:13" ht="18" customHeight="1" x14ac:dyDescent="0.2">
      <c r="A48" s="59" t="s">
        <v>47</v>
      </c>
      <c r="D48" s="50">
        <f t="shared" ref="D48:F48" si="10">IF(D$2="","",IF(D$39="n", "", SUM(D$6,D$12,D$17,D$23,D$28,D$34)))</f>
        <v>0.62083333333333335</v>
      </c>
      <c r="E48" s="50">
        <f t="shared" si="10"/>
        <v>0.62083333333333335</v>
      </c>
      <c r="F48" s="50">
        <f t="shared" si="10"/>
        <v>0.63749999999999996</v>
      </c>
    </row>
    <row r="50" spans="1:6" ht="19" x14ac:dyDescent="0.25">
      <c r="A50" s="110" t="s">
        <v>74</v>
      </c>
      <c r="B50" s="90" t="s">
        <v>75</v>
      </c>
    </row>
    <row r="51" spans="1:6" x14ac:dyDescent="0.2">
      <c r="A51" s="111" t="s">
        <v>63</v>
      </c>
      <c r="B51" s="112">
        <v>0.3</v>
      </c>
      <c r="C51" s="111"/>
      <c r="D51" s="256">
        <f>[1]BRISBANE!D$4</f>
        <v>0.81874999999999998</v>
      </c>
      <c r="E51" s="256">
        <f>[1]BRISBANE!E$4</f>
        <v>0.81874999999999998</v>
      </c>
      <c r="F51" s="256">
        <f>[1]BRISBANE!F$4</f>
        <v>0.75624999999999998</v>
      </c>
    </row>
    <row r="52" spans="1:6" x14ac:dyDescent="0.2">
      <c r="A52" s="111" t="s">
        <v>64</v>
      </c>
      <c r="B52" s="112">
        <v>0.7</v>
      </c>
      <c r="C52" s="111"/>
      <c r="D52" s="257">
        <f t="shared" ref="D52:F52" si="11">D4</f>
        <v>0.62083333333333335</v>
      </c>
      <c r="E52" s="257">
        <f t="shared" si="11"/>
        <v>0.62083333333333335</v>
      </c>
      <c r="F52" s="257">
        <f t="shared" si="11"/>
        <v>0.63749999999999996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0.24562499999999998</v>
      </c>
      <c r="E55" s="257">
        <f t="shared" ref="E55:F55" si="12">IF(E51="-","-",E51*$B$51)</f>
        <v>0.24562499999999998</v>
      </c>
      <c r="F55" s="257">
        <f t="shared" si="12"/>
        <v>0.22687499999999999</v>
      </c>
    </row>
    <row r="56" spans="1:6" x14ac:dyDescent="0.2">
      <c r="A56" s="111" t="s">
        <v>64</v>
      </c>
      <c r="B56" s="111"/>
      <c r="C56" s="111"/>
      <c r="D56" s="257">
        <f t="shared" ref="D56:F56" si="13">IF(D52="-","-",D52*$B$52)</f>
        <v>0.43458333333333332</v>
      </c>
      <c r="E56" s="257">
        <f t="shared" si="13"/>
        <v>0.43458333333333332</v>
      </c>
      <c r="F56" s="257">
        <f t="shared" si="13"/>
        <v>0.44624999999999992</v>
      </c>
    </row>
    <row r="57" spans="1:6" x14ac:dyDescent="0.2">
      <c r="A57" s="114" t="s">
        <v>59</v>
      </c>
      <c r="B57" s="114"/>
      <c r="C57" s="114"/>
      <c r="D57" s="115">
        <f t="shared" ref="D57:F57" si="14">IF(D51="","",IF(D52="","",SUM(D55:D56)))</f>
        <v>0.6802083333333333</v>
      </c>
      <c r="E57" s="115">
        <f t="shared" si="14"/>
        <v>0.6802083333333333</v>
      </c>
      <c r="F57" s="115">
        <f t="shared" si="14"/>
        <v>0.67312499999999997</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307" t="s">
        <v>152</v>
      </c>
      <c r="E2" s="293" t="s">
        <v>127</v>
      </c>
      <c r="F2" s="299" t="s">
        <v>77</v>
      </c>
    </row>
    <row r="3" spans="1:8" ht="19" x14ac:dyDescent="0.2">
      <c r="A3" s="32" t="str">
        <f>OVERALL!E1</f>
        <v>CITY OF CASEY</v>
      </c>
      <c r="B3" s="248">
        <f>OVERALL!E3</f>
        <v>0.34992261904761912</v>
      </c>
      <c r="C3" s="108" t="s">
        <v>73</v>
      </c>
      <c r="D3" s="109">
        <f>IF(D2="-","-",D57)</f>
        <v>0.53566666666666662</v>
      </c>
      <c r="E3" s="109">
        <f t="shared" ref="E3:F3" si="0">IF(E2="-","-",E57)</f>
        <v>0.41305952380952382</v>
      </c>
      <c r="F3" s="109" t="str">
        <f t="shared" si="0"/>
        <v>-</v>
      </c>
    </row>
    <row r="4" spans="1:8" ht="18" customHeight="1" x14ac:dyDescent="0.2">
      <c r="A4" s="17" t="str">
        <f>OVERALL!A4</f>
        <v>QUALITY SCORE</v>
      </c>
      <c r="B4" s="38">
        <f>IF(C2=0, "-", IF(COUNTIF(D39:F39, "n")=C2, "-", IF(COUNT(D4:F4)=0, "-", AVERAGE(D4:F4))))</f>
        <v>0.57291666666666674</v>
      </c>
      <c r="C4" s="58" t="s">
        <v>1</v>
      </c>
      <c r="D4" s="38">
        <f>IF(D48&lt;0%,0%,IF(D$2="-","-",IF(D$39="n", "-", SUM(D$6,D$12,D$17,D$23,D$28,D$34))))</f>
        <v>0.65416666666666667</v>
      </c>
      <c r="E4" s="38">
        <f t="shared" ref="E4:F4" si="1">IF(E48&lt;0%,0%,IF(E$2="-","-",IF(E$39="n", "-", SUM(E$6,E$12,E$17,E$23,E$28,E$34))))</f>
        <v>0.4916666666666667</v>
      </c>
      <c r="F4" s="38" t="str">
        <f t="shared" si="1"/>
        <v>-</v>
      </c>
      <c r="H4" s="12" t="s">
        <v>8</v>
      </c>
    </row>
    <row r="5" spans="1:8" ht="18" customHeight="1" x14ac:dyDescent="0.25">
      <c r="A5" s="57" t="s">
        <v>48</v>
      </c>
      <c r="B5" s="58">
        <f>IF(B6="-","-",AVERAGE(D5:F5))</f>
        <v>0.57291666666666674</v>
      </c>
      <c r="C5" s="58" t="s">
        <v>1</v>
      </c>
      <c r="D5" s="60">
        <f t="shared" ref="D5:F5" si="2">IF(D$2="","",IF(D$39="n", "", SUM(D$6,D$12,D$17,D$23,D$28)))</f>
        <v>0.65416666666666667</v>
      </c>
      <c r="E5" s="60">
        <f t="shared" si="2"/>
        <v>0.4916666666666667</v>
      </c>
      <c r="F5" s="60" t="str">
        <f t="shared" si="2"/>
        <v/>
      </c>
      <c r="H5" s="7" t="s">
        <v>16</v>
      </c>
    </row>
    <row r="6" spans="1:8" ht="18" customHeight="1" x14ac:dyDescent="0.2">
      <c r="A6" s="20" t="str">
        <f>OVERALL!A6</f>
        <v>ENGAGE</v>
      </c>
      <c r="B6" s="21">
        <f>IF(C11=0,"-",AVERAGE(B7:B10))</f>
        <v>0.375</v>
      </c>
      <c r="C6" s="61" t="s">
        <v>0</v>
      </c>
      <c r="D6" s="28">
        <f>IF(D11=0,"-",(COUNTIF(D7:D10, "y")/D11)*OVERALL!$C$6)</f>
        <v>0.1</v>
      </c>
      <c r="E6" s="28">
        <f>IF(E11=0,"-",(COUNTIF(E7:E10, "y")/E11)*OVERALL!$C$6)</f>
        <v>0.05</v>
      </c>
      <c r="F6" s="28" t="str">
        <f>IF(F11=0,"-",(COUNTIF(F7:F10, "y")/F11)*OVERALL!$C$6)</f>
        <v>-</v>
      </c>
    </row>
    <row r="7" spans="1:8" ht="18" customHeight="1" x14ac:dyDescent="0.2">
      <c r="A7" s="33" t="str">
        <f>OVERALL!A7</f>
        <v>WELCOME</v>
      </c>
      <c r="B7" s="3">
        <f>IF(C7=0,"-",COUNTIF(D7:F7,"y")/C7)</f>
        <v>1</v>
      </c>
      <c r="C7" s="26">
        <f>$C$2-COUNTIF(D7:F7, "-")</f>
        <v>2</v>
      </c>
      <c r="D7" s="306" t="s">
        <v>124</v>
      </c>
      <c r="E7" s="292" t="s">
        <v>124</v>
      </c>
      <c r="F7" s="298" t="s">
        <v>77</v>
      </c>
      <c r="H7" s="11" t="s">
        <v>2</v>
      </c>
    </row>
    <row r="8" spans="1:8" ht="18" customHeight="1" x14ac:dyDescent="0.25">
      <c r="A8" s="33" t="str">
        <f>OVERALL!A8</f>
        <v>INTENT</v>
      </c>
      <c r="B8" s="3">
        <f>IF(C8=0,"-",COUNTIF(D8:F8,"y")/C8)</f>
        <v>0.5</v>
      </c>
      <c r="C8" s="26">
        <f>$C$2-COUNTIF(D8:F8, "-")</f>
        <v>2</v>
      </c>
      <c r="D8" s="306" t="s">
        <v>124</v>
      </c>
      <c r="E8" s="292" t="s">
        <v>123</v>
      </c>
      <c r="F8" s="298" t="s">
        <v>77</v>
      </c>
      <c r="H8" s="7" t="s">
        <v>15</v>
      </c>
    </row>
    <row r="9" spans="1:8" ht="18" customHeight="1" x14ac:dyDescent="0.2">
      <c r="A9" s="33" t="str">
        <f>OVERALL!A9</f>
        <v>NAME</v>
      </c>
      <c r="B9" s="3">
        <f>IF(C9=0,"-",COUNTIF(D9:F9,"y")/C9)</f>
        <v>0</v>
      </c>
      <c r="C9" s="26">
        <f>$C$2-COUNTIF(D9:F9, "-")</f>
        <v>2</v>
      </c>
      <c r="D9" s="306" t="s">
        <v>123</v>
      </c>
      <c r="E9" s="292" t="s">
        <v>123</v>
      </c>
      <c r="F9" s="298" t="s">
        <v>77</v>
      </c>
      <c r="H9" t="s">
        <v>1</v>
      </c>
    </row>
    <row r="10" spans="1:8" ht="18" customHeight="1" x14ac:dyDescent="0.2">
      <c r="A10" s="33" t="str">
        <f>OVERALL!A10</f>
        <v>BRIDGE</v>
      </c>
      <c r="B10" s="3">
        <f>IF(C10=0,"-",COUNTIF(D10:F10,"y")/C10)</f>
        <v>0</v>
      </c>
      <c r="C10" s="26">
        <f>$C$2-COUNTIF(D10:F10, "-")</f>
        <v>2</v>
      </c>
      <c r="D10" s="306" t="s">
        <v>123</v>
      </c>
      <c r="E10" s="292" t="s">
        <v>123</v>
      </c>
      <c r="F10" s="298" t="s">
        <v>77</v>
      </c>
      <c r="H10" s="13" t="s">
        <v>3</v>
      </c>
    </row>
    <row r="11" spans="1:8" ht="18" customHeight="1" x14ac:dyDescent="0.25">
      <c r="A11" s="2"/>
      <c r="C11" s="63">
        <f>AVERAGE(C7:C10)</f>
        <v>2</v>
      </c>
      <c r="D11" s="27">
        <f t="shared" ref="D11:F11" si="3">COUNTA(D7:D10)-COUNTIF(D7:D10, "-")</f>
        <v>4</v>
      </c>
      <c r="E11" s="27">
        <f t="shared" si="3"/>
        <v>4</v>
      </c>
      <c r="F11" s="27">
        <f t="shared" si="3"/>
        <v>0</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t="str">
        <f>IF(F16=0,"-",(COUNTIF(F13:F15, "y")/F16)*OVERALL!$C$12)</f>
        <v>-</v>
      </c>
      <c r="H12" t="s">
        <v>1</v>
      </c>
    </row>
    <row r="13" spans="1:8" ht="18" customHeight="1" x14ac:dyDescent="0.2">
      <c r="A13" s="33" t="str">
        <f>OVERALL!A13</f>
        <v>CONVERSE</v>
      </c>
      <c r="B13" s="3">
        <f>IF(C13=0,"-",COUNTIF(D13:F13,"y")/C13)</f>
        <v>0</v>
      </c>
      <c r="C13" s="26">
        <f>$C$2-COUNTIF(D13:F13, "-")</f>
        <v>2</v>
      </c>
      <c r="D13" s="306" t="s">
        <v>123</v>
      </c>
      <c r="E13" s="292" t="s">
        <v>123</v>
      </c>
      <c r="F13" s="298" t="s">
        <v>77</v>
      </c>
      <c r="H13" s="14" t="s">
        <v>4</v>
      </c>
    </row>
    <row r="14" spans="1:8" ht="18" customHeight="1" x14ac:dyDescent="0.25">
      <c r="A14" s="33" t="str">
        <f>OVERALL!A14</f>
        <v>LISTEN</v>
      </c>
      <c r="B14" s="3">
        <f>IF(C14=0,"-",COUNTIF(D14:F14,"y")/C14)</f>
        <v>1</v>
      </c>
      <c r="C14" s="26">
        <f>$C$2-COUNTIF(D14:F14, "-")</f>
        <v>2</v>
      </c>
      <c r="D14" s="306" t="s">
        <v>124</v>
      </c>
      <c r="E14" s="292" t="s">
        <v>124</v>
      </c>
      <c r="F14" s="298" t="s">
        <v>77</v>
      </c>
      <c r="H14" s="9" t="s">
        <v>13</v>
      </c>
    </row>
    <row r="15" spans="1:8" ht="18" customHeight="1" x14ac:dyDescent="0.2">
      <c r="A15" s="33" t="str">
        <f>OVERALL!A15</f>
        <v>CONFIRM</v>
      </c>
      <c r="B15" s="3">
        <f>IF(C15=0,"-",COUNTIF(D15:F15,"y")/C15)</f>
        <v>0</v>
      </c>
      <c r="C15" s="26">
        <f>$C$2-COUNTIF(D15:F15, "-")</f>
        <v>2</v>
      </c>
      <c r="D15" s="306" t="s">
        <v>123</v>
      </c>
      <c r="E15" s="292" t="s">
        <v>123</v>
      </c>
      <c r="F15" s="298" t="s">
        <v>77</v>
      </c>
      <c r="G15" t="s">
        <v>1</v>
      </c>
    </row>
    <row r="16" spans="1:8" ht="18" customHeight="1" x14ac:dyDescent="0.2">
      <c r="A16" s="2"/>
      <c r="C16" s="63">
        <f>AVERAGE(C13:C15)</f>
        <v>2</v>
      </c>
      <c r="D16" s="27">
        <f t="shared" ref="D16:F16" si="4">COUNTA(D13:D15)-COUNTIF(D13:D15, "-")</f>
        <v>3</v>
      </c>
      <c r="E16" s="27">
        <f t="shared" si="4"/>
        <v>3</v>
      </c>
      <c r="F16" s="27">
        <f t="shared" si="4"/>
        <v>0</v>
      </c>
      <c r="H16" s="15" t="s">
        <v>7</v>
      </c>
    </row>
    <row r="17" spans="1:11" ht="18" customHeight="1" x14ac:dyDescent="0.25">
      <c r="A17" s="20" t="str">
        <f>OVERALL!A17</f>
        <v>EDUCATE</v>
      </c>
      <c r="B17" s="21">
        <f>IF(C22=0,"-",AVERAGE(B18:B21))</f>
        <v>0.625</v>
      </c>
      <c r="C17" s="1" t="s">
        <v>1</v>
      </c>
      <c r="D17" s="29">
        <f>IF(D22=0,"-",(COUNTIF(D18:D21, "y")/D22)*OVERALL!$C$17)</f>
        <v>0.1875</v>
      </c>
      <c r="E17" s="29">
        <f>IF(E22=0,"-",(COUNTIF(E18:E21, "y")/E22)*OVERALL!$C$17)</f>
        <v>0.125</v>
      </c>
      <c r="F17" s="29" t="str">
        <f>IF(F22=0,"-",(COUNTIF(F18:F21, "y")/F22)*OVERALL!$C$17)</f>
        <v>-</v>
      </c>
      <c r="H17" s="9" t="s">
        <v>6</v>
      </c>
    </row>
    <row r="18" spans="1:11" ht="18" customHeight="1" x14ac:dyDescent="0.2">
      <c r="A18" s="33" t="str">
        <f>OVERALL!A18</f>
        <v>INFORM</v>
      </c>
      <c r="B18" s="3">
        <f>IF(C18=0,"-",COUNTIF(D18:F18,"y")/C18)</f>
        <v>0.5</v>
      </c>
      <c r="C18" s="26">
        <f>$C$2-COUNTIF(D18:F18, "-")</f>
        <v>2</v>
      </c>
      <c r="D18" s="306" t="s">
        <v>124</v>
      </c>
      <c r="E18" s="292" t="s">
        <v>123</v>
      </c>
      <c r="F18" s="298" t="s">
        <v>77</v>
      </c>
    </row>
    <row r="19" spans="1:11" ht="18" customHeight="1" x14ac:dyDescent="0.2">
      <c r="A19" s="33" t="str">
        <f>OVERALL!A19</f>
        <v>CHECK</v>
      </c>
      <c r="B19" s="3">
        <f>IF(C19=0,"-",COUNTIF(D19:F19,"y")/C19)</f>
        <v>0</v>
      </c>
      <c r="C19" s="26">
        <f>$C$2-COUNTIF(D19:F19, "-")</f>
        <v>2</v>
      </c>
      <c r="D19" s="306" t="s">
        <v>123</v>
      </c>
      <c r="E19" s="292" t="s">
        <v>123</v>
      </c>
      <c r="F19" s="298" t="s">
        <v>77</v>
      </c>
    </row>
    <row r="20" spans="1:11" ht="18" customHeight="1" x14ac:dyDescent="0.2">
      <c r="A20" s="33" t="str">
        <f>OVERALL!A20</f>
        <v>SEEK</v>
      </c>
      <c r="B20" s="3">
        <f>IF(C20=0,"-",COUNTIF(D20:F20,"y")/C20)</f>
        <v>1</v>
      </c>
      <c r="C20" s="26">
        <f>$C$2-COUNTIF(D20:F20, "-")</f>
        <v>2</v>
      </c>
      <c r="D20" s="306" t="s">
        <v>124</v>
      </c>
      <c r="E20" s="292" t="s">
        <v>124</v>
      </c>
      <c r="F20" s="298" t="s">
        <v>77</v>
      </c>
      <c r="H20" t="s">
        <v>1</v>
      </c>
    </row>
    <row r="21" spans="1:11" ht="18" customHeight="1" x14ac:dyDescent="0.2">
      <c r="A21" s="33" t="str">
        <f>OVERALL!A21</f>
        <v>CONFIDENCE</v>
      </c>
      <c r="B21" s="3">
        <f>IF(C21=0,"-",COUNTIF(D21:F21,"y")/C21)</f>
        <v>1</v>
      </c>
      <c r="C21" s="26">
        <f>$C$2-COUNTIF(D21:F21, "-")</f>
        <v>2</v>
      </c>
      <c r="D21" s="306" t="s">
        <v>124</v>
      </c>
      <c r="E21" s="292" t="s">
        <v>124</v>
      </c>
      <c r="F21" s="298" t="s">
        <v>77</v>
      </c>
    </row>
    <row r="22" spans="1:11" ht="18" customHeight="1" x14ac:dyDescent="0.2">
      <c r="A22" s="2"/>
      <c r="C22" s="63">
        <f>AVERAGE(C18:C21)</f>
        <v>2</v>
      </c>
      <c r="D22" s="27">
        <f t="shared" ref="D22:F22" si="5">COUNTA(D18:D21)-COUNTIF(D18:D21, "-")</f>
        <v>4</v>
      </c>
      <c r="E22" s="27">
        <f t="shared" si="5"/>
        <v>4</v>
      </c>
      <c r="F22" s="27">
        <f t="shared" si="5"/>
        <v>0</v>
      </c>
    </row>
    <row r="23" spans="1:11" ht="18" customHeight="1" x14ac:dyDescent="0.2">
      <c r="A23" s="20" t="str">
        <f>OVERALL!A23</f>
        <v>CLOSE</v>
      </c>
      <c r="B23" s="21">
        <f>IF(C27=0,"-",AVERAGE(B24:B26))</f>
        <v>0.5</v>
      </c>
      <c r="C23" s="1" t="s">
        <v>1</v>
      </c>
      <c r="D23" s="29">
        <f>IF(D27=0,"-",(COUNTIF(D24:D26, "y")/D27)*OVERALL!$C$23)</f>
        <v>9.9999999999999992E-2</v>
      </c>
      <c r="E23" s="29">
        <f>IF(E27=0,"-",(COUNTIF(E24:E26, "y")/E27)*OVERALL!$C$23)</f>
        <v>4.9999999999999996E-2</v>
      </c>
      <c r="F23" s="29" t="str">
        <f>IF(F27=0,"-",(COUNTIF(F24:F26, "y")/F27)*OVERALL!$C$23)</f>
        <v>-</v>
      </c>
    </row>
    <row r="24" spans="1:11" ht="18" customHeight="1" x14ac:dyDescent="0.2">
      <c r="A24" s="33" t="str">
        <f>OVERALL!A24</f>
        <v>QUESTIONS</v>
      </c>
      <c r="B24" s="3">
        <f>IF(C24=0,"-",COUNTIF(D24:F24,"y")/C24)</f>
        <v>0.5</v>
      </c>
      <c r="C24" s="26">
        <f>$C$2-COUNTIF(D24:F24, "-")</f>
        <v>2</v>
      </c>
      <c r="D24" s="306" t="s">
        <v>124</v>
      </c>
      <c r="E24" s="292" t="s">
        <v>123</v>
      </c>
      <c r="F24" s="298" t="s">
        <v>77</v>
      </c>
    </row>
    <row r="25" spans="1:11" ht="18" customHeight="1" x14ac:dyDescent="0.2">
      <c r="A25" s="33" t="str">
        <f>OVERALL!A25</f>
        <v>GRATITUDE</v>
      </c>
      <c r="B25" s="3">
        <f>IF(C25=0,"-",COUNTIF(D25:F25,"y")/C25)</f>
        <v>0</v>
      </c>
      <c r="C25" s="26">
        <f>$C$2-COUNTIF(D25:F25, "-")</f>
        <v>2</v>
      </c>
      <c r="D25" s="306" t="s">
        <v>123</v>
      </c>
      <c r="E25" s="292" t="s">
        <v>123</v>
      </c>
      <c r="F25" s="298" t="s">
        <v>77</v>
      </c>
    </row>
    <row r="26" spans="1:11" ht="18" customHeight="1" x14ac:dyDescent="0.2">
      <c r="A26" s="33" t="str">
        <f>OVERALL!A26</f>
        <v>THANKS</v>
      </c>
      <c r="B26" s="3">
        <f>IF(C26=0,"-",COUNTIF(D26:F26,"y")/C26)</f>
        <v>1</v>
      </c>
      <c r="C26" s="26">
        <f>$C$2-COUNTIF(D26:F26, "-")</f>
        <v>2</v>
      </c>
      <c r="D26" s="306" t="s">
        <v>124</v>
      </c>
      <c r="E26" s="292" t="s">
        <v>124</v>
      </c>
      <c r="F26" s="298" t="s">
        <v>77</v>
      </c>
    </row>
    <row r="27" spans="1:11" ht="18" customHeight="1" x14ac:dyDescent="0.2">
      <c r="A27" s="2"/>
      <c r="C27" s="63">
        <f>AVERAGE(C24:C26)</f>
        <v>2</v>
      </c>
      <c r="D27" s="27">
        <f t="shared" ref="D27:F27" si="6">COUNTA(D24:D26)-COUNTIF(D24:D26, "-")</f>
        <v>3</v>
      </c>
      <c r="E27" s="27">
        <f t="shared" si="6"/>
        <v>3</v>
      </c>
      <c r="F27" s="27">
        <f t="shared" si="6"/>
        <v>0</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t="str">
        <f>IF(F33=0,"-",(COUNTIF(F29:F32, "y")/F33)*OVERALL!$C$28)</f>
        <v>-</v>
      </c>
    </row>
    <row r="29" spans="1:11" ht="18" customHeight="1" x14ac:dyDescent="0.2">
      <c r="A29" s="33" t="str">
        <f>OVERALL!A29</f>
        <v>VIBRANCY</v>
      </c>
      <c r="B29" s="3">
        <f>IF(C29=0,"-",COUNTIF(D29:F29,"y")/C29)</f>
        <v>1</v>
      </c>
      <c r="C29" s="26">
        <f>$C$2-COUNTIF(D29:F29, "-")</f>
        <v>2</v>
      </c>
      <c r="D29" s="306" t="s">
        <v>124</v>
      </c>
      <c r="E29" s="292" t="s">
        <v>124</v>
      </c>
      <c r="F29" s="298" t="s">
        <v>77</v>
      </c>
    </row>
    <row r="30" spans="1:11" ht="18" customHeight="1" x14ac:dyDescent="0.2">
      <c r="A30" s="33" t="str">
        <f>OVERALL!A30</f>
        <v>EMPATHY</v>
      </c>
      <c r="B30" s="3">
        <f>IF(C30=0,"-",COUNTIF(D30:F30,"y")/C30)</f>
        <v>1</v>
      </c>
      <c r="C30" s="26">
        <f>$C$2-COUNTIF(D30:F30, "-")</f>
        <v>2</v>
      </c>
      <c r="D30" s="306" t="s">
        <v>124</v>
      </c>
      <c r="E30" s="292" t="s">
        <v>124</v>
      </c>
      <c r="F30" s="298" t="s">
        <v>77</v>
      </c>
    </row>
    <row r="31" spans="1:11" ht="18" customHeight="1" x14ac:dyDescent="0.2">
      <c r="A31" s="33" t="str">
        <f>OVERALL!A31</f>
        <v>CONTROL</v>
      </c>
      <c r="B31" s="3">
        <f>IF(C31=0,"-",COUNTIF(D31:F31,"y")/C31)</f>
        <v>1</v>
      </c>
      <c r="C31" s="26">
        <f>$C$2-COUNTIF(D31:F31, "-")</f>
        <v>2</v>
      </c>
      <c r="D31" s="306" t="s">
        <v>124</v>
      </c>
      <c r="E31" s="292" t="s">
        <v>124</v>
      </c>
      <c r="F31" s="298" t="s">
        <v>77</v>
      </c>
    </row>
    <row r="32" spans="1:11" ht="18" customHeight="1" x14ac:dyDescent="0.2">
      <c r="A32" s="33" t="str">
        <f>OVERALL!A32</f>
        <v>CLARITY</v>
      </c>
      <c r="B32" s="3">
        <f>IF(C32=0,"-",COUNTIF(D32:F32,"y")/C32)</f>
        <v>1</v>
      </c>
      <c r="C32" s="26">
        <f>$C$2-COUNTIF(D32:F32, "-")</f>
        <v>2</v>
      </c>
      <c r="D32" s="306" t="s">
        <v>124</v>
      </c>
      <c r="E32" s="292" t="s">
        <v>124</v>
      </c>
      <c r="F32" s="298" t="s">
        <v>77</v>
      </c>
      <c r="K32" t="s">
        <v>1</v>
      </c>
    </row>
    <row r="33" spans="1:16" ht="18" customHeight="1" x14ac:dyDescent="0.2">
      <c r="A33" s="5"/>
      <c r="B33" s="6"/>
      <c r="C33" s="63">
        <f>AVERAGE(C29:C32)</f>
        <v>2</v>
      </c>
      <c r="D33" s="27">
        <f t="shared" ref="D33:F33" si="7">COUNTA(D29:D32)-COUNTIF(D29:D32, "-")</f>
        <v>4</v>
      </c>
      <c r="E33" s="27">
        <f t="shared" si="7"/>
        <v>4</v>
      </c>
      <c r="F33" s="27">
        <f t="shared" si="7"/>
        <v>0</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2</v>
      </c>
      <c r="D35" s="306" t="s">
        <v>123</v>
      </c>
      <c r="E35" s="292" t="s">
        <v>123</v>
      </c>
      <c r="F35" s="298" t="s">
        <v>77</v>
      </c>
      <c r="H35" s="48">
        <v>-0.3</v>
      </c>
      <c r="J35" s="48"/>
      <c r="K35" s="48"/>
      <c r="L35" s="48"/>
    </row>
    <row r="36" spans="1:16" ht="18" customHeight="1" x14ac:dyDescent="0.2">
      <c r="A36" s="45" t="str">
        <f>OVERALL!A36</f>
        <v>AUDIO ISSUE (DISTRACTION)</v>
      </c>
      <c r="B36" s="3">
        <f>IF(C36=0,"-",COUNTIF(D36:F36,"y")/C36)</f>
        <v>0</v>
      </c>
      <c r="C36" s="26">
        <f>$C$2-COUNTIF(D36:F36, "-")</f>
        <v>2</v>
      </c>
      <c r="D36" s="306" t="s">
        <v>123</v>
      </c>
      <c r="E36" s="292" t="s">
        <v>123</v>
      </c>
      <c r="F36" s="298" t="s">
        <v>77</v>
      </c>
      <c r="H36" s="48">
        <v>-0.1</v>
      </c>
      <c r="J36" s="48"/>
      <c r="K36" s="48"/>
      <c r="L36" s="48"/>
    </row>
    <row r="37" spans="1:16" ht="18" customHeight="1" x14ac:dyDescent="0.2">
      <c r="A37" s="5"/>
      <c r="B37" s="6"/>
      <c r="C37" s="63">
        <f>C35</f>
        <v>2</v>
      </c>
      <c r="D37" s="27">
        <f t="shared" ref="D37:F37" si="8">IF(D35="NA","",COUNTIF(D35:D36, "y"))</f>
        <v>0</v>
      </c>
      <c r="E37" s="27">
        <f t="shared" si="8"/>
        <v>0</v>
      </c>
      <c r="F37" s="27">
        <f t="shared" si="8"/>
        <v>0</v>
      </c>
    </row>
    <row r="38" spans="1:16" ht="18" customHeight="1" x14ac:dyDescent="0.2">
      <c r="A38" s="350" t="str">
        <f>OVERALL!A38</f>
        <v>ADDITIONAL INSIGHT</v>
      </c>
      <c r="B38" s="351"/>
      <c r="C38" s="10" t="s">
        <v>1</v>
      </c>
      <c r="D38" s="30"/>
      <c r="E38" s="30"/>
      <c r="F38" s="30"/>
    </row>
    <row r="39" spans="1:16" ht="18" customHeight="1" x14ac:dyDescent="0.2">
      <c r="A39" s="33" t="str">
        <f>OVERALL!A39</f>
        <v>CALL ANSWERED-QUALITY</v>
      </c>
      <c r="B39" s="3">
        <f>IF(C39=0,"-",COUNTIF(D39:F39, "y")/C39)</f>
        <v>0.66666666666666663</v>
      </c>
      <c r="C39" s="26">
        <f t="shared" ref="C39:C45" si="9">$C$2-COUNTIF(D39:F39, "-")</f>
        <v>3</v>
      </c>
      <c r="D39" s="306" t="s">
        <v>124</v>
      </c>
      <c r="E39" s="292" t="s">
        <v>124</v>
      </c>
      <c r="F39" s="298" t="s">
        <v>123</v>
      </c>
    </row>
    <row r="40" spans="1:16" ht="18" customHeight="1" x14ac:dyDescent="0.2">
      <c r="A40" s="33" t="str">
        <f>OVERALL!A40</f>
        <v>TALK TIME</v>
      </c>
      <c r="B40" s="280">
        <f>IF(C40=0,"-",AVERAGE(D40:F40))</f>
        <v>1.3368055555555555E-3</v>
      </c>
      <c r="C40" s="26">
        <f t="shared" si="9"/>
        <v>2</v>
      </c>
      <c r="D40" s="280">
        <v>1.5162037037037036E-3</v>
      </c>
      <c r="E40" s="280">
        <v>1.1574074074074073E-3</v>
      </c>
      <c r="F40" s="300" t="s">
        <v>77</v>
      </c>
      <c r="G40" s="46"/>
      <c r="H40" s="265"/>
      <c r="I40" s="265"/>
      <c r="J40" s="265"/>
      <c r="K40" s="265"/>
      <c r="L40" s="265"/>
      <c r="M40" s="265"/>
      <c r="N40" s="265"/>
      <c r="O40" s="265"/>
      <c r="P40" s="265"/>
    </row>
    <row r="41" spans="1:16" ht="18" customHeight="1" x14ac:dyDescent="0.2">
      <c r="A41" s="33" t="str">
        <f>OVERALL!A41</f>
        <v>ASSESSOR RATING (0-10)</v>
      </c>
      <c r="B41" s="263">
        <f>IF(C41=0,"-",SUM(D41:F41)/C41)</f>
        <v>5</v>
      </c>
      <c r="C41" s="26">
        <f t="shared" si="9"/>
        <v>2</v>
      </c>
      <c r="D41" s="285">
        <v>6</v>
      </c>
      <c r="E41" s="285">
        <v>4</v>
      </c>
      <c r="F41" s="301" t="s">
        <v>77</v>
      </c>
    </row>
    <row r="42" spans="1:16" ht="18" customHeight="1" x14ac:dyDescent="0.2">
      <c r="A42" s="33" t="str">
        <f>OVERALL!A42</f>
        <v>EXPLAINED KEY FEATURES</v>
      </c>
      <c r="B42" s="3">
        <f>IF(C42=0,"-",COUNTIF(D42:F42, "y")/C42)</f>
        <v>0.5</v>
      </c>
      <c r="C42" s="26">
        <f t="shared" si="9"/>
        <v>2</v>
      </c>
      <c r="D42" s="306" t="s">
        <v>124</v>
      </c>
      <c r="E42" s="292" t="s">
        <v>123</v>
      </c>
      <c r="F42" s="298" t="s">
        <v>77</v>
      </c>
      <c r="G42" s="47"/>
      <c r="H42" t="s">
        <v>1</v>
      </c>
    </row>
    <row r="43" spans="1:16" ht="18" customHeight="1" x14ac:dyDescent="0.2">
      <c r="A43" s="33" t="str">
        <f>OVERALL!A43</f>
        <v>REVEALED PRICING</v>
      </c>
      <c r="B43" s="3">
        <f>IF(C43=0,"-",COUNTIF(D43:F43, "y")/C43)</f>
        <v>0</v>
      </c>
      <c r="C43" s="26">
        <f t="shared" si="9"/>
        <v>2</v>
      </c>
      <c r="D43" s="306" t="s">
        <v>123</v>
      </c>
      <c r="E43" s="292" t="s">
        <v>123</v>
      </c>
      <c r="F43" s="298" t="s">
        <v>77</v>
      </c>
    </row>
    <row r="44" spans="1:16" ht="18" customHeight="1" x14ac:dyDescent="0.2">
      <c r="A44" s="33" t="str">
        <f>OVERALL!A44</f>
        <v>EXPLAINED ACTIONS &amp; PROCESS</v>
      </c>
      <c r="B44" s="3">
        <f>IF(C44=0,"-",COUNTIF(D44:F44, "y")/C44)</f>
        <v>0.5</v>
      </c>
      <c r="C44" s="26">
        <f t="shared" si="9"/>
        <v>2</v>
      </c>
      <c r="D44" s="306" t="s">
        <v>124</v>
      </c>
      <c r="E44" s="292" t="s">
        <v>123</v>
      </c>
      <c r="F44" s="298" t="s">
        <v>77</v>
      </c>
    </row>
    <row r="45" spans="1:16" ht="18" customHeight="1" x14ac:dyDescent="0.2">
      <c r="A45" s="33" t="str">
        <f>OVERALL!A45</f>
        <v>WEBSITE EDUCATION</v>
      </c>
      <c r="B45" s="3">
        <f>IF(C45=0,"-",COUNTIF(D45:F45, "y")/C45)</f>
        <v>1</v>
      </c>
      <c r="C45" s="26">
        <f t="shared" si="9"/>
        <v>2</v>
      </c>
      <c r="D45" s="306" t="s">
        <v>124</v>
      </c>
      <c r="E45" s="292" t="s">
        <v>124</v>
      </c>
      <c r="F45" s="298" t="s">
        <v>77</v>
      </c>
    </row>
    <row r="46" spans="1:16" ht="18" customHeight="1" x14ac:dyDescent="0.2">
      <c r="A46" s="18"/>
      <c r="B46" s="3"/>
      <c r="C46" s="26"/>
      <c r="D46" s="263"/>
      <c r="E46" s="263"/>
      <c r="F46" s="263"/>
    </row>
    <row r="47" spans="1:16" ht="90" x14ac:dyDescent="0.2">
      <c r="A47" s="25" t="s">
        <v>1</v>
      </c>
      <c r="B47" s="352" t="s">
        <v>35</v>
      </c>
      <c r="C47" s="353"/>
      <c r="D47" s="23" t="s">
        <v>153</v>
      </c>
      <c r="E47" s="23" t="s">
        <v>128</v>
      </c>
      <c r="F47" s="23" t="s">
        <v>139</v>
      </c>
    </row>
    <row r="48" spans="1:16" ht="18" customHeight="1" x14ac:dyDescent="0.2">
      <c r="A48" s="59" t="s">
        <v>47</v>
      </c>
      <c r="D48" s="50">
        <f t="shared" ref="D48:F48" si="10">IF(D$2="","",IF(D$39="n", "", SUM(D$6,D$12,D$17,D$23,D$28,D$34)))</f>
        <v>0.65416666666666667</v>
      </c>
      <c r="E48" s="50">
        <f t="shared" si="10"/>
        <v>0.4916666666666667</v>
      </c>
      <c r="F48" s="50" t="str">
        <f t="shared" si="10"/>
        <v/>
      </c>
    </row>
    <row r="50" spans="1:6" ht="19" x14ac:dyDescent="0.25">
      <c r="A50" s="110" t="s">
        <v>74</v>
      </c>
      <c r="B50" s="90" t="s">
        <v>75</v>
      </c>
    </row>
    <row r="51" spans="1:6" x14ac:dyDescent="0.2">
      <c r="A51" s="111" t="s">
        <v>63</v>
      </c>
      <c r="B51" s="112">
        <v>0.3</v>
      </c>
      <c r="C51" s="111"/>
      <c r="D51" s="256">
        <f>[1]CASEY!D$4</f>
        <v>0.25916666666666671</v>
      </c>
      <c r="E51" s="256">
        <f>[1]CASEY!E$4</f>
        <v>0.22964285714285715</v>
      </c>
      <c r="F51" s="256">
        <f>[1]CASEY!F$4</f>
        <v>0</v>
      </c>
    </row>
    <row r="52" spans="1:6" x14ac:dyDescent="0.2">
      <c r="A52" s="111" t="s">
        <v>64</v>
      </c>
      <c r="B52" s="112">
        <v>0.7</v>
      </c>
      <c r="C52" s="111"/>
      <c r="D52" s="257">
        <f t="shared" ref="D52:F52" si="11">D4</f>
        <v>0.65416666666666667</v>
      </c>
      <c r="E52" s="257">
        <f t="shared" si="11"/>
        <v>0.4916666666666667</v>
      </c>
      <c r="F52" s="257" t="str">
        <f t="shared" si="11"/>
        <v>-</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7.7750000000000014E-2</v>
      </c>
      <c r="E55" s="257">
        <f t="shared" ref="E55:F55" si="12">IF(E51="-","-",E51*$B$51)</f>
        <v>6.8892857142857145E-2</v>
      </c>
      <c r="F55" s="257">
        <f t="shared" si="12"/>
        <v>0</v>
      </c>
    </row>
    <row r="56" spans="1:6" x14ac:dyDescent="0.2">
      <c r="A56" s="111" t="s">
        <v>64</v>
      </c>
      <c r="B56" s="111"/>
      <c r="C56" s="111"/>
      <c r="D56" s="257">
        <f t="shared" ref="D56:F56" si="13">IF(D52="-","-",D52*$B$52)</f>
        <v>0.45791666666666664</v>
      </c>
      <c r="E56" s="257">
        <f t="shared" si="13"/>
        <v>0.34416666666666668</v>
      </c>
      <c r="F56" s="257" t="str">
        <f t="shared" si="13"/>
        <v>-</v>
      </c>
    </row>
    <row r="57" spans="1:6" x14ac:dyDescent="0.2">
      <c r="A57" s="114" t="s">
        <v>59</v>
      </c>
      <c r="B57" s="114"/>
      <c r="C57" s="114"/>
      <c r="D57" s="115">
        <f t="shared" ref="D57:F57" si="14">IF(D51="","",IF(D52="","",SUM(D55:D56)))</f>
        <v>0.53566666666666662</v>
      </c>
      <c r="E57" s="115">
        <f t="shared" si="14"/>
        <v>0.41305952380952382</v>
      </c>
      <c r="F57" s="115">
        <f t="shared" si="14"/>
        <v>0</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0" zoomScaleNormal="90" workbookViewId="0">
      <pane xSplit="3" ySplit="6" topLeftCell="D46"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307" t="s">
        <v>154</v>
      </c>
      <c r="E2" s="293" t="s">
        <v>129</v>
      </c>
      <c r="F2" s="299" t="s">
        <v>140</v>
      </c>
    </row>
    <row r="3" spans="1:8" ht="19" x14ac:dyDescent="0.2">
      <c r="A3" s="32" t="str">
        <f>OVERALL!F1</f>
        <v>FRANKSTON CITY</v>
      </c>
      <c r="B3" s="248">
        <f>OVERALL!F3</f>
        <v>0.56843055555555555</v>
      </c>
      <c r="C3" s="108" t="s">
        <v>73</v>
      </c>
      <c r="D3" s="109">
        <f>IF(D2="-","-",D57)</f>
        <v>0.58120833333333333</v>
      </c>
      <c r="E3" s="109">
        <f t="shared" ref="E3:F3" si="0">IF(E2="-","-",E57)</f>
        <v>0.56204166666666666</v>
      </c>
      <c r="F3" s="109">
        <f t="shared" si="0"/>
        <v>0.56204166666666666</v>
      </c>
    </row>
    <row r="4" spans="1:8" ht="18" customHeight="1" x14ac:dyDescent="0.2">
      <c r="A4" s="17" t="str">
        <f>OVERALL!A4</f>
        <v>QUALITY SCORE</v>
      </c>
      <c r="B4" s="38">
        <f>IF(C2=0, "-", IF(COUNTIF(D39:F39, "n")=C2, "-", IF(COUNT(D4:F4)=0, "-", AVERAGE(D4:F4))))</f>
        <v>0.52638888888888891</v>
      </c>
      <c r="C4" s="58" t="s">
        <v>1</v>
      </c>
      <c r="D4" s="38">
        <f>IF(D48&lt;0%,0%,IF(D$2="-","-",IF(D$39="n", "-", SUM(D$6,D$12,D$17,D$23,D$28,D$34))))</f>
        <v>0.47083333333333333</v>
      </c>
      <c r="E4" s="38">
        <f t="shared" ref="E4:F4" si="1">IF(E48&lt;0%,0%,IF(E$2="-","-",IF(E$39="n", "-", SUM(E$6,E$12,E$17,E$23,E$28,E$34))))</f>
        <v>0.5541666666666667</v>
      </c>
      <c r="F4" s="38">
        <f t="shared" si="1"/>
        <v>0.5541666666666667</v>
      </c>
      <c r="H4" s="12" t="s">
        <v>8</v>
      </c>
    </row>
    <row r="5" spans="1:8" ht="18" customHeight="1" x14ac:dyDescent="0.25">
      <c r="A5" s="57" t="s">
        <v>48</v>
      </c>
      <c r="B5" s="58">
        <f>IF(B6="-","-",AVERAGE(D5:F5))</f>
        <v>0.55972222222222223</v>
      </c>
      <c r="C5" s="58" t="s">
        <v>1</v>
      </c>
      <c r="D5" s="60">
        <f t="shared" ref="D5:F5" si="2">IF(D$2="","",IF(D$39="n", "", SUM(D$6,D$12,D$17,D$23,D$28)))</f>
        <v>0.5708333333333333</v>
      </c>
      <c r="E5" s="60">
        <f t="shared" si="2"/>
        <v>0.5541666666666667</v>
      </c>
      <c r="F5" s="60">
        <f t="shared" si="2"/>
        <v>0.5541666666666667</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306" t="s">
        <v>124</v>
      </c>
      <c r="E7" s="292" t="s">
        <v>124</v>
      </c>
      <c r="F7" s="298" t="s">
        <v>124</v>
      </c>
      <c r="H7" s="11" t="s">
        <v>2</v>
      </c>
    </row>
    <row r="8" spans="1:8" ht="18" customHeight="1" x14ac:dyDescent="0.25">
      <c r="A8" s="33" t="str">
        <f>OVERALL!A8</f>
        <v>INTENT</v>
      </c>
      <c r="B8" s="3">
        <f>IF(C8=0,"-",COUNTIF(D8:F8,"y")/C8)</f>
        <v>0</v>
      </c>
      <c r="C8" s="26">
        <f>$C$2-COUNTIF(D8:F8, "-")</f>
        <v>3</v>
      </c>
      <c r="D8" s="306" t="s">
        <v>123</v>
      </c>
      <c r="E8" s="292" t="s">
        <v>123</v>
      </c>
      <c r="F8" s="298" t="s">
        <v>123</v>
      </c>
      <c r="H8" s="7" t="s">
        <v>15</v>
      </c>
    </row>
    <row r="9" spans="1:8" ht="18" customHeight="1" x14ac:dyDescent="0.2">
      <c r="A9" s="33" t="str">
        <f>OVERALL!A9</f>
        <v>NAME</v>
      </c>
      <c r="B9" s="3">
        <f>IF(C9=0,"-",COUNTIF(D9:F9,"y")/C9)</f>
        <v>0</v>
      </c>
      <c r="C9" s="26">
        <f>$C$2-COUNTIF(D9:F9, "-")</f>
        <v>3</v>
      </c>
      <c r="D9" s="306" t="s">
        <v>123</v>
      </c>
      <c r="E9" s="292" t="s">
        <v>123</v>
      </c>
      <c r="F9" s="298" t="s">
        <v>123</v>
      </c>
      <c r="H9" t="s">
        <v>1</v>
      </c>
    </row>
    <row r="10" spans="1:8" ht="18" customHeight="1" x14ac:dyDescent="0.2">
      <c r="A10" s="33" t="str">
        <f>OVERALL!A10</f>
        <v>BRIDGE</v>
      </c>
      <c r="B10" s="3">
        <f>IF(C10=0,"-",COUNTIF(D10:F10,"y")/C10)</f>
        <v>0</v>
      </c>
      <c r="C10" s="26">
        <f>$C$2-COUNTIF(D10:F10, "-")</f>
        <v>3</v>
      </c>
      <c r="D10" s="306" t="s">
        <v>123</v>
      </c>
      <c r="E10" s="292" t="s">
        <v>123</v>
      </c>
      <c r="F10" s="298"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0.13333333333333333</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06" t="s">
        <v>123</v>
      </c>
      <c r="E13" s="292" t="s">
        <v>123</v>
      </c>
      <c r="F13" s="298" t="s">
        <v>123</v>
      </c>
      <c r="H13" s="14" t="s">
        <v>4</v>
      </c>
    </row>
    <row r="14" spans="1:8" ht="18" customHeight="1" x14ac:dyDescent="0.25">
      <c r="A14" s="33" t="str">
        <f>OVERALL!A14</f>
        <v>LISTEN</v>
      </c>
      <c r="B14" s="3">
        <f>IF(C14=0,"-",COUNTIF(D14:F14,"y")/C14)</f>
        <v>1</v>
      </c>
      <c r="C14" s="26">
        <f>$C$2-COUNTIF(D14:F14, "-")</f>
        <v>3</v>
      </c>
      <c r="D14" s="306" t="s">
        <v>124</v>
      </c>
      <c r="E14" s="292" t="s">
        <v>124</v>
      </c>
      <c r="F14" s="298" t="s">
        <v>124</v>
      </c>
      <c r="H14" s="9" t="s">
        <v>13</v>
      </c>
    </row>
    <row r="15" spans="1:8" ht="18" customHeight="1" x14ac:dyDescent="0.2">
      <c r="A15" s="33" t="str">
        <f>OVERALL!A15</f>
        <v>CONFIRM</v>
      </c>
      <c r="B15" s="3">
        <f>IF(C15=0,"-",COUNTIF(D15:F15,"y")/C15)</f>
        <v>0.33333333333333331</v>
      </c>
      <c r="C15" s="26">
        <f>$C$2-COUNTIF(D15:F15, "-")</f>
        <v>3</v>
      </c>
      <c r="D15" s="306" t="s">
        <v>124</v>
      </c>
      <c r="E15" s="292" t="s">
        <v>123</v>
      </c>
      <c r="F15" s="298"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306" t="s">
        <v>124</v>
      </c>
      <c r="E18" s="292" t="s">
        <v>124</v>
      </c>
      <c r="F18" s="298" t="s">
        <v>124</v>
      </c>
    </row>
    <row r="19" spans="1:11" ht="18" customHeight="1" x14ac:dyDescent="0.2">
      <c r="A19" s="33" t="str">
        <f>OVERALL!A19</f>
        <v>CHECK</v>
      </c>
      <c r="B19" s="3">
        <f>IF(C19=0,"-",COUNTIF(D19:F19,"y")/C19)</f>
        <v>0</v>
      </c>
      <c r="C19" s="26">
        <f>$C$2-COUNTIF(D19:F19, "-")</f>
        <v>3</v>
      </c>
      <c r="D19" s="306" t="s">
        <v>123</v>
      </c>
      <c r="E19" s="292" t="s">
        <v>123</v>
      </c>
      <c r="F19" s="298" t="s">
        <v>123</v>
      </c>
    </row>
    <row r="20" spans="1:11" ht="18" customHeight="1" x14ac:dyDescent="0.2">
      <c r="A20" s="33" t="str">
        <f>OVERALL!A20</f>
        <v>SEEK</v>
      </c>
      <c r="B20" s="3">
        <f>IF(C20=0,"-",COUNTIF(D20:F20,"y")/C20)</f>
        <v>1</v>
      </c>
      <c r="C20" s="26">
        <f>$C$2-COUNTIF(D20:F20, "-")</f>
        <v>3</v>
      </c>
      <c r="D20" s="306" t="s">
        <v>124</v>
      </c>
      <c r="E20" s="292" t="s">
        <v>124</v>
      </c>
      <c r="F20" s="298" t="s">
        <v>124</v>
      </c>
      <c r="H20" t="s">
        <v>1</v>
      </c>
    </row>
    <row r="21" spans="1:11" ht="18" customHeight="1" x14ac:dyDescent="0.2">
      <c r="A21" s="33" t="str">
        <f>OVERALL!A21</f>
        <v>CONFIDENCE</v>
      </c>
      <c r="B21" s="3">
        <f>IF(C21=0,"-",COUNTIF(D21:F21,"y")/C21)</f>
        <v>1</v>
      </c>
      <c r="C21" s="26">
        <f>$C$2-COUNTIF(D21:F21, "-")</f>
        <v>3</v>
      </c>
      <c r="D21" s="306" t="s">
        <v>124</v>
      </c>
      <c r="E21" s="292" t="s">
        <v>124</v>
      </c>
      <c r="F21" s="298"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306" t="s">
        <v>123</v>
      </c>
      <c r="E24" s="292" t="s">
        <v>123</v>
      </c>
      <c r="F24" s="298" t="s">
        <v>123</v>
      </c>
    </row>
    <row r="25" spans="1:11" ht="18" customHeight="1" x14ac:dyDescent="0.2">
      <c r="A25" s="33" t="str">
        <f>OVERALL!A25</f>
        <v>GRATITUDE</v>
      </c>
      <c r="B25" s="3">
        <f>IF(C25=0,"-",COUNTIF(D25:F25,"y")/C25)</f>
        <v>0</v>
      </c>
      <c r="C25" s="26">
        <f>$C$2-COUNTIF(D25:F25, "-")</f>
        <v>3</v>
      </c>
      <c r="D25" s="306" t="s">
        <v>123</v>
      </c>
      <c r="E25" s="292" t="s">
        <v>123</v>
      </c>
      <c r="F25" s="298" t="s">
        <v>123</v>
      </c>
    </row>
    <row r="26" spans="1:11" ht="18" customHeight="1" x14ac:dyDescent="0.2">
      <c r="A26" s="33" t="str">
        <f>OVERALL!A26</f>
        <v>THANKS</v>
      </c>
      <c r="B26" s="3">
        <f>IF(C26=0,"-",COUNTIF(D26:F26,"y")/C26)</f>
        <v>1</v>
      </c>
      <c r="C26" s="26">
        <f>$C$2-COUNTIF(D26:F26, "-")</f>
        <v>3</v>
      </c>
      <c r="D26" s="306" t="s">
        <v>124</v>
      </c>
      <c r="E26" s="292" t="s">
        <v>124</v>
      </c>
      <c r="F26" s="298"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0.15000000000000002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306" t="s">
        <v>124</v>
      </c>
      <c r="E29" s="292" t="s">
        <v>124</v>
      </c>
      <c r="F29" s="298" t="s">
        <v>124</v>
      </c>
    </row>
    <row r="30" spans="1:11" ht="18" customHeight="1" x14ac:dyDescent="0.2">
      <c r="A30" s="33" t="str">
        <f>OVERALL!A30</f>
        <v>EMPATHY</v>
      </c>
      <c r="B30" s="3">
        <f>IF(C30=0,"-",COUNTIF(D30:F30,"y")/C30)</f>
        <v>1</v>
      </c>
      <c r="C30" s="26">
        <f>$C$2-COUNTIF(D30:F30, "-")</f>
        <v>3</v>
      </c>
      <c r="D30" s="306" t="s">
        <v>124</v>
      </c>
      <c r="E30" s="292" t="s">
        <v>124</v>
      </c>
      <c r="F30" s="298" t="s">
        <v>124</v>
      </c>
    </row>
    <row r="31" spans="1:11" ht="18" customHeight="1" x14ac:dyDescent="0.2">
      <c r="A31" s="33" t="str">
        <f>OVERALL!A31</f>
        <v>CONTROL</v>
      </c>
      <c r="B31" s="3">
        <f>IF(C31=0,"-",COUNTIF(D31:F31,"y")/C31)</f>
        <v>0.66666666666666663</v>
      </c>
      <c r="C31" s="26">
        <f>$C$2-COUNTIF(D31:F31, "-")</f>
        <v>3</v>
      </c>
      <c r="D31" s="306" t="s">
        <v>123</v>
      </c>
      <c r="E31" s="292" t="s">
        <v>124</v>
      </c>
      <c r="F31" s="298" t="s">
        <v>124</v>
      </c>
    </row>
    <row r="32" spans="1:11" ht="18" customHeight="1" x14ac:dyDescent="0.2">
      <c r="A32" s="33" t="str">
        <f>OVERALL!A32</f>
        <v>CLARITY</v>
      </c>
      <c r="B32" s="3">
        <f>IF(C32=0,"-",COUNTIF(D32:F32,"y")/C32)</f>
        <v>1</v>
      </c>
      <c r="C32" s="26">
        <f>$C$2-COUNTIF(D32:F32, "-")</f>
        <v>3</v>
      </c>
      <c r="D32" s="306" t="s">
        <v>124</v>
      </c>
      <c r="E32" s="292" t="s">
        <v>124</v>
      </c>
      <c r="F32" s="298"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0.33333333333333331</v>
      </c>
      <c r="C34" s="1" t="s">
        <v>1</v>
      </c>
      <c r="D34" s="44">
        <f>IF(D37=0,"-",IF(D37="","-",IF(D35="y",$H$35,IF(D36="y",$H$36,0%))))</f>
        <v>-0.1</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6" t="s">
        <v>123</v>
      </c>
      <c r="E35" s="292" t="s">
        <v>123</v>
      </c>
      <c r="F35" s="298" t="s">
        <v>123</v>
      </c>
      <c r="H35" s="48">
        <v>-0.3</v>
      </c>
      <c r="J35" s="48"/>
      <c r="K35" s="48"/>
      <c r="L35" s="48"/>
    </row>
    <row r="36" spans="1:13" ht="18" customHeight="1" x14ac:dyDescent="0.2">
      <c r="A36" s="45" t="str">
        <f>OVERALL!A36</f>
        <v>AUDIO ISSUE (DISTRACTION)</v>
      </c>
      <c r="B36" s="3">
        <f>IF(C36=0,"-",COUNTIF(D36:F36,"y")/C36)</f>
        <v>0.33333333333333331</v>
      </c>
      <c r="C36" s="26">
        <f>$C$2-COUNTIF(D36:F36, "-")</f>
        <v>3</v>
      </c>
      <c r="D36" s="306" t="s">
        <v>124</v>
      </c>
      <c r="E36" s="292" t="s">
        <v>123</v>
      </c>
      <c r="F36" s="298" t="s">
        <v>123</v>
      </c>
      <c r="H36" s="48">
        <v>-0.1</v>
      </c>
      <c r="J36" s="48"/>
      <c r="K36" s="48"/>
      <c r="L36" s="48"/>
    </row>
    <row r="37" spans="1:13" ht="18" customHeight="1" x14ac:dyDescent="0.2">
      <c r="A37" s="5"/>
      <c r="B37" s="6"/>
      <c r="C37" s="63">
        <f>C35</f>
        <v>3</v>
      </c>
      <c r="D37" s="27">
        <f t="shared" ref="D37:F37" si="8">IF(D35="NA","",COUNTIF(D35:D36, "y"))</f>
        <v>1</v>
      </c>
      <c r="E37" s="27">
        <f t="shared" si="8"/>
        <v>0</v>
      </c>
      <c r="F37" s="27">
        <f t="shared" si="8"/>
        <v>0</v>
      </c>
    </row>
    <row r="38" spans="1:13" ht="18" customHeight="1" x14ac:dyDescent="0.2">
      <c r="A38" s="350" t="str">
        <f>OVERALL!A38</f>
        <v>ADDITIONAL INSIGHT</v>
      </c>
      <c r="B38" s="351"/>
      <c r="C38" s="10" t="s">
        <v>1</v>
      </c>
      <c r="D38" s="30"/>
      <c r="E38" s="30"/>
      <c r="F38" s="30"/>
    </row>
    <row r="39" spans="1:13" ht="18" customHeight="1" x14ac:dyDescent="0.2">
      <c r="A39" s="33" t="str">
        <f>OVERALL!A39</f>
        <v>CALL ANSWERED-QUALITY</v>
      </c>
      <c r="B39" s="3">
        <f>IF(C39=0,"-",COUNTIF(D39:F39, "y")/C39)</f>
        <v>1</v>
      </c>
      <c r="C39" s="26">
        <f t="shared" ref="C39:C45" si="9">$C$2-COUNTIF(D39:F39, "-")</f>
        <v>3</v>
      </c>
      <c r="D39" s="306" t="s">
        <v>124</v>
      </c>
      <c r="E39" s="292" t="s">
        <v>124</v>
      </c>
      <c r="F39" s="298" t="s">
        <v>124</v>
      </c>
    </row>
    <row r="40" spans="1:13" ht="18" customHeight="1" x14ac:dyDescent="0.2">
      <c r="A40" s="33" t="str">
        <f>OVERALL!A40</f>
        <v>TALK TIME</v>
      </c>
      <c r="B40" s="280">
        <f>IF(C40=0,"-",AVERAGE(D40:F40))</f>
        <v>2.0023148148148148E-3</v>
      </c>
      <c r="C40" s="26">
        <f t="shared" si="9"/>
        <v>3</v>
      </c>
      <c r="D40" s="308">
        <v>2.5115740740740741E-3</v>
      </c>
      <c r="E40" s="280">
        <v>2.3263888888888887E-3</v>
      </c>
      <c r="F40" s="280">
        <v>1.1689814814814816E-3</v>
      </c>
      <c r="G40" s="46"/>
      <c r="H40" s="265"/>
      <c r="I40" s="265"/>
      <c r="J40" s="265"/>
      <c r="K40" s="265"/>
      <c r="L40" s="265"/>
      <c r="M40" s="265"/>
    </row>
    <row r="41" spans="1:13" ht="18" customHeight="1" x14ac:dyDescent="0.2">
      <c r="A41" s="33" t="str">
        <f>OVERALL!A41</f>
        <v>ASSESSOR RATING (0-10)</v>
      </c>
      <c r="B41" s="263">
        <f>IF(C41=0,"-",SUM(D41:F41)/C41)</f>
        <v>5</v>
      </c>
      <c r="C41" s="26">
        <f t="shared" si="9"/>
        <v>3</v>
      </c>
      <c r="D41" s="285">
        <v>5</v>
      </c>
      <c r="E41" s="285">
        <v>5</v>
      </c>
      <c r="F41" s="285">
        <v>5</v>
      </c>
    </row>
    <row r="42" spans="1:13" ht="18" customHeight="1" x14ac:dyDescent="0.2">
      <c r="A42" s="33" t="str">
        <f>OVERALL!A42</f>
        <v>EXPLAINED KEY FEATURES</v>
      </c>
      <c r="B42" s="3">
        <f>IF(C42=0,"-",COUNTIF(D42:F42, "y")/C42)</f>
        <v>1</v>
      </c>
      <c r="C42" s="26">
        <f t="shared" si="9"/>
        <v>3</v>
      </c>
      <c r="D42" s="306" t="s">
        <v>124</v>
      </c>
      <c r="E42" s="292" t="s">
        <v>124</v>
      </c>
      <c r="F42" s="298" t="s">
        <v>124</v>
      </c>
      <c r="G42" s="47"/>
      <c r="H42" t="s">
        <v>1</v>
      </c>
    </row>
    <row r="43" spans="1:13" ht="18" customHeight="1" x14ac:dyDescent="0.2">
      <c r="A43" s="33" t="str">
        <f>OVERALL!A43</f>
        <v>REVEALED PRICING</v>
      </c>
      <c r="B43" s="3">
        <f>IF(C43=0,"-",COUNTIF(D43:F43, "y")/C43)</f>
        <v>0.66666666666666663</v>
      </c>
      <c r="C43" s="26">
        <f t="shared" si="9"/>
        <v>3</v>
      </c>
      <c r="D43" s="306" t="s">
        <v>123</v>
      </c>
      <c r="E43" s="292" t="s">
        <v>124</v>
      </c>
      <c r="F43" s="298" t="s">
        <v>124</v>
      </c>
    </row>
    <row r="44" spans="1:13" ht="18" customHeight="1" x14ac:dyDescent="0.2">
      <c r="A44" s="33" t="str">
        <f>OVERALL!A44</f>
        <v>EXPLAINED ACTIONS &amp; PROCESS</v>
      </c>
      <c r="B44" s="3">
        <f>IF(C44=0,"-",COUNTIF(D44:F44, "y")/C44)</f>
        <v>1</v>
      </c>
      <c r="C44" s="26">
        <f t="shared" si="9"/>
        <v>3</v>
      </c>
      <c r="D44" s="306" t="s">
        <v>124</v>
      </c>
      <c r="E44" s="292" t="s">
        <v>124</v>
      </c>
      <c r="F44" s="298" t="s">
        <v>124</v>
      </c>
    </row>
    <row r="45" spans="1:13" ht="18" customHeight="1" x14ac:dyDescent="0.2">
      <c r="A45" s="33" t="str">
        <f>OVERALL!A45</f>
        <v>WEBSITE EDUCATION</v>
      </c>
      <c r="B45" s="3">
        <f>IF(C45=0,"-",COUNTIF(D45:F45, "y")/C45)</f>
        <v>0.66666666666666663</v>
      </c>
      <c r="C45" s="26">
        <f t="shared" si="9"/>
        <v>3</v>
      </c>
      <c r="D45" s="306" t="s">
        <v>123</v>
      </c>
      <c r="E45" s="292" t="s">
        <v>124</v>
      </c>
      <c r="F45" s="298" t="s">
        <v>124</v>
      </c>
    </row>
    <row r="46" spans="1:13" ht="18" customHeight="1" x14ac:dyDescent="0.2">
      <c r="A46" s="18"/>
      <c r="B46" s="3"/>
      <c r="C46" s="26"/>
      <c r="D46" s="263"/>
      <c r="E46" s="263"/>
      <c r="F46" s="263"/>
    </row>
    <row r="47" spans="1:13" ht="120" x14ac:dyDescent="0.2">
      <c r="A47" s="25" t="s">
        <v>1</v>
      </c>
      <c r="B47" s="352" t="s">
        <v>35</v>
      </c>
      <c r="C47" s="353"/>
      <c r="D47" s="23" t="s">
        <v>155</v>
      </c>
      <c r="E47" s="23" t="s">
        <v>130</v>
      </c>
      <c r="F47" s="23" t="s">
        <v>141</v>
      </c>
    </row>
    <row r="48" spans="1:13" ht="18" customHeight="1" x14ac:dyDescent="0.2">
      <c r="A48" s="59" t="s">
        <v>47</v>
      </c>
      <c r="D48" s="50">
        <f t="shared" ref="D48:F48" si="10">IF(D$2="","",IF(D$39="n", "", SUM(D$6,D$12,D$17,D$23,D$28,D$34)))</f>
        <v>0.47083333333333333</v>
      </c>
      <c r="E48" s="50">
        <f t="shared" si="10"/>
        <v>0.5541666666666667</v>
      </c>
      <c r="F48" s="50">
        <f t="shared" si="10"/>
        <v>0.5541666666666667</v>
      </c>
    </row>
    <row r="50" spans="1:6" ht="19" x14ac:dyDescent="0.25">
      <c r="A50" s="110" t="s">
        <v>74</v>
      </c>
      <c r="B50" s="90" t="s">
        <v>75</v>
      </c>
    </row>
    <row r="51" spans="1:6" x14ac:dyDescent="0.2">
      <c r="A51" s="111" t="s">
        <v>63</v>
      </c>
      <c r="B51" s="112">
        <v>0.3</v>
      </c>
      <c r="C51" s="111"/>
      <c r="D51" s="256">
        <f>[1]FRANKSTON!D$4</f>
        <v>0.83875</v>
      </c>
      <c r="E51" s="256">
        <f>[1]FRANKSTON!E$4</f>
        <v>0.58041666666666669</v>
      </c>
      <c r="F51" s="256">
        <f>[1]FRANKSTON!F$4</f>
        <v>0.58041666666666669</v>
      </c>
    </row>
    <row r="52" spans="1:6" x14ac:dyDescent="0.2">
      <c r="A52" s="111" t="s">
        <v>64</v>
      </c>
      <c r="B52" s="112">
        <v>0.7</v>
      </c>
      <c r="C52" s="111"/>
      <c r="D52" s="257">
        <f t="shared" ref="D52:F52" si="11">D4</f>
        <v>0.47083333333333333</v>
      </c>
      <c r="E52" s="257">
        <f t="shared" si="11"/>
        <v>0.5541666666666667</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0.25162499999999999</v>
      </c>
      <c r="E55" s="257">
        <f t="shared" ref="E55:F55" si="12">IF(E51="-","-",E51*$B$51)</f>
        <v>0.174125</v>
      </c>
      <c r="F55" s="257">
        <f t="shared" si="12"/>
        <v>0.174125</v>
      </c>
    </row>
    <row r="56" spans="1:6" x14ac:dyDescent="0.2">
      <c r="A56" s="111" t="s">
        <v>64</v>
      </c>
      <c r="B56" s="111"/>
      <c r="C56" s="111"/>
      <c r="D56" s="257">
        <f t="shared" ref="D56:F56" si="13">IF(D52="-","-",D52*$B$52)</f>
        <v>0.32958333333333328</v>
      </c>
      <c r="E56" s="257">
        <f t="shared" si="13"/>
        <v>0.38791666666666669</v>
      </c>
      <c r="F56" s="257">
        <f t="shared" si="13"/>
        <v>0.38791666666666669</v>
      </c>
    </row>
    <row r="57" spans="1:6" x14ac:dyDescent="0.2">
      <c r="A57" s="114" t="s">
        <v>59</v>
      </c>
      <c r="B57" s="114"/>
      <c r="C57" s="114"/>
      <c r="D57" s="115">
        <f t="shared" ref="D57:F57" si="14">IF(D51="","",IF(D52="","",SUM(D55:D56)))</f>
        <v>0.58120833333333333</v>
      </c>
      <c r="E57" s="115">
        <f t="shared" si="14"/>
        <v>0.56204166666666666</v>
      </c>
      <c r="F57" s="115">
        <f t="shared" si="14"/>
        <v>0.56204166666666666</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2"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307" t="s">
        <v>77</v>
      </c>
      <c r="E2" s="295" t="s">
        <v>135</v>
      </c>
      <c r="F2" s="305" t="s">
        <v>127</v>
      </c>
    </row>
    <row r="3" spans="1:8" ht="19" x14ac:dyDescent="0.2">
      <c r="A3" s="32" t="str">
        <f>OVERALL!G1</f>
        <v>CITY OF LAUNCESTON</v>
      </c>
      <c r="B3" s="248">
        <f>OVERALL!G3</f>
        <v>0.34454166666666663</v>
      </c>
      <c r="C3" s="108" t="s">
        <v>73</v>
      </c>
      <c r="D3" s="109" t="str">
        <f>IF(D2="-","-",D57)</f>
        <v>-</v>
      </c>
      <c r="E3" s="109">
        <f t="shared" ref="E3:F3" si="0">IF(E2="-","-",E57)</f>
        <v>0.39741666666666664</v>
      </c>
      <c r="F3" s="109">
        <f t="shared" si="0"/>
        <v>0.60954166666666665</v>
      </c>
    </row>
    <row r="4" spans="1:8" ht="18" customHeight="1" x14ac:dyDescent="0.2">
      <c r="A4" s="17" t="str">
        <f>OVERALL!A4</f>
        <v>QUALITY SCORE</v>
      </c>
      <c r="B4" s="38">
        <f>IF(C2=0, "-", IF(COUNTIF(D39:F39, "n")=C2, "-", IF(COUNT(D4:F4)=0, "-", AVERAGE(D4:F4))))</f>
        <v>0.46666666666666667</v>
      </c>
      <c r="C4" s="58" t="s">
        <v>1</v>
      </c>
      <c r="D4" s="38" t="str">
        <f>IF(D48&lt;0%,0%,IF(D$2="-","-",IF(D$39="n", "-", SUM(D$6,D$12,D$17,D$23,D$28,D$34))))</f>
        <v>-</v>
      </c>
      <c r="E4" s="38">
        <f t="shared" ref="E4:F4" si="1">IF(E48&lt;0%,0%,IF(E$2="-","-",IF(E$39="n", "-", SUM(E$6,E$12,E$17,E$23,E$28,E$34))))</f>
        <v>0.37916666666666665</v>
      </c>
      <c r="F4" s="38">
        <f t="shared" si="1"/>
        <v>0.5541666666666667</v>
      </c>
      <c r="H4" s="12" t="s">
        <v>8</v>
      </c>
    </row>
    <row r="5" spans="1:8" ht="18" customHeight="1" x14ac:dyDescent="0.25">
      <c r="A5" s="57" t="s">
        <v>48</v>
      </c>
      <c r="B5" s="58">
        <f>IF(B6="-","-",AVERAGE(D5:F5))</f>
        <v>0.46666666666666667</v>
      </c>
      <c r="C5" s="58" t="s">
        <v>1</v>
      </c>
      <c r="D5" s="60" t="str">
        <f t="shared" ref="D5:F5" si="2">IF(D$2="","",IF(D$39="n", "", SUM(D$6,D$12,D$17,D$23,D$28)))</f>
        <v/>
      </c>
      <c r="E5" s="60">
        <f t="shared" si="2"/>
        <v>0.37916666666666665</v>
      </c>
      <c r="F5" s="60">
        <f t="shared" si="2"/>
        <v>0.5541666666666667</v>
      </c>
      <c r="H5" s="7" t="s">
        <v>16</v>
      </c>
    </row>
    <row r="6" spans="1:8" ht="18" customHeight="1" x14ac:dyDescent="0.2">
      <c r="A6" s="20" t="str">
        <f>OVERALL!A6</f>
        <v>ENGAGE</v>
      </c>
      <c r="B6" s="21">
        <f>IF(C11=0,"-",AVERAGE(B7:B10))</f>
        <v>0.25</v>
      </c>
      <c r="C6" s="61" t="s">
        <v>0</v>
      </c>
      <c r="D6" s="28" t="str">
        <f>IF(D11=0,"-",(COUNTIF(D7:D10, "y")/D11)*OVERALL!$C$6)</f>
        <v>-</v>
      </c>
      <c r="E6" s="28">
        <f>IF(E11=0,"-",(COUNTIF(E7:E10, "y")/E11)*OVERALL!$C$6)</f>
        <v>0.05</v>
      </c>
      <c r="F6" s="28">
        <f>IF(F11=0,"-",(COUNTIF(F7:F10, "y")/F11)*OVERALL!$C$6)</f>
        <v>0.05</v>
      </c>
    </row>
    <row r="7" spans="1:8" ht="18" customHeight="1" x14ac:dyDescent="0.2">
      <c r="A7" s="33" t="str">
        <f>OVERALL!A7</f>
        <v>WELCOME</v>
      </c>
      <c r="B7" s="3">
        <f>IF(C7=0,"-",COUNTIF(D7:F7,"y")/C7)</f>
        <v>1</v>
      </c>
      <c r="C7" s="26">
        <f>$C$2-COUNTIF(D7:F7, "-")</f>
        <v>2</v>
      </c>
      <c r="D7" s="306" t="s">
        <v>77</v>
      </c>
      <c r="E7" s="294" t="s">
        <v>124</v>
      </c>
      <c r="F7" s="304" t="s">
        <v>124</v>
      </c>
      <c r="H7" s="11" t="s">
        <v>2</v>
      </c>
    </row>
    <row r="8" spans="1:8" ht="18" customHeight="1" x14ac:dyDescent="0.25">
      <c r="A8" s="33" t="str">
        <f>OVERALL!A8</f>
        <v>INTENT</v>
      </c>
      <c r="B8" s="3">
        <f>IF(C8=0,"-",COUNTIF(D8:F8,"y")/C8)</f>
        <v>0</v>
      </c>
      <c r="C8" s="26">
        <f>$C$2-COUNTIF(D8:F8, "-")</f>
        <v>2</v>
      </c>
      <c r="D8" s="306" t="s">
        <v>77</v>
      </c>
      <c r="E8" s="294" t="s">
        <v>123</v>
      </c>
      <c r="F8" s="304" t="s">
        <v>123</v>
      </c>
      <c r="H8" s="7" t="s">
        <v>15</v>
      </c>
    </row>
    <row r="9" spans="1:8" ht="18" customHeight="1" x14ac:dyDescent="0.2">
      <c r="A9" s="33" t="str">
        <f>OVERALL!A9</f>
        <v>NAME</v>
      </c>
      <c r="B9" s="3">
        <f>IF(C9=0,"-",COUNTIF(D9:F9,"y")/C9)</f>
        <v>0</v>
      </c>
      <c r="C9" s="26">
        <f>$C$2-COUNTIF(D9:F9, "-")</f>
        <v>2</v>
      </c>
      <c r="D9" s="306" t="s">
        <v>77</v>
      </c>
      <c r="E9" s="294" t="s">
        <v>123</v>
      </c>
      <c r="F9" s="304" t="s">
        <v>123</v>
      </c>
      <c r="H9" t="s">
        <v>1</v>
      </c>
    </row>
    <row r="10" spans="1:8" ht="18" customHeight="1" x14ac:dyDescent="0.2">
      <c r="A10" s="33" t="str">
        <f>OVERALL!A10</f>
        <v>BRIDGE</v>
      </c>
      <c r="B10" s="3">
        <f>IF(C10=0,"-",COUNTIF(D10:F10,"y")/C10)</f>
        <v>0</v>
      </c>
      <c r="C10" s="26">
        <f>$C$2-COUNTIF(D10:F10, "-")</f>
        <v>2</v>
      </c>
      <c r="D10" s="306" t="s">
        <v>77</v>
      </c>
      <c r="E10" s="294" t="s">
        <v>123</v>
      </c>
      <c r="F10" s="304" t="s">
        <v>123</v>
      </c>
      <c r="H10" s="13" t="s">
        <v>3</v>
      </c>
    </row>
    <row r="11" spans="1:8" ht="18" customHeight="1" x14ac:dyDescent="0.25">
      <c r="A11" s="2"/>
      <c r="C11" s="63">
        <f>AVERAGE(C7:C10)</f>
        <v>2</v>
      </c>
      <c r="D11" s="27">
        <f t="shared" ref="D11:F11" si="3">COUNTA(D7:D10)-COUNTIF(D7:D10, "-")</f>
        <v>0</v>
      </c>
      <c r="E11" s="27">
        <f t="shared" si="3"/>
        <v>4</v>
      </c>
      <c r="F11" s="27">
        <f t="shared" si="3"/>
        <v>4</v>
      </c>
      <c r="H11" s="8" t="s">
        <v>14</v>
      </c>
    </row>
    <row r="12" spans="1:8" ht="18" customHeight="1" x14ac:dyDescent="0.2">
      <c r="A12" s="20" t="str">
        <f>OVERALL!A12</f>
        <v>DISCOVER</v>
      </c>
      <c r="B12" s="21">
        <f>IF(C16=0,"-",AVERAGE(B13:B15))</f>
        <v>0.33333333333333331</v>
      </c>
      <c r="C12" s="1" t="s">
        <v>1</v>
      </c>
      <c r="D12" s="28" t="str">
        <f>IF(D16=0,"-",(COUNTIF(D13:D15, "y")/D16)*OVERALL!$C$12)</f>
        <v>-</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2</v>
      </c>
      <c r="D13" s="306" t="s">
        <v>77</v>
      </c>
      <c r="E13" s="294" t="s">
        <v>123</v>
      </c>
      <c r="F13" s="304" t="s">
        <v>123</v>
      </c>
      <c r="H13" s="14" t="s">
        <v>4</v>
      </c>
    </row>
    <row r="14" spans="1:8" ht="18" customHeight="1" x14ac:dyDescent="0.25">
      <c r="A14" s="33" t="str">
        <f>OVERALL!A14</f>
        <v>LISTEN</v>
      </c>
      <c r="B14" s="3">
        <f>IF(C14=0,"-",COUNTIF(D14:F14,"y")/C14)</f>
        <v>1</v>
      </c>
      <c r="C14" s="26">
        <f>$C$2-COUNTIF(D14:F14, "-")</f>
        <v>2</v>
      </c>
      <c r="D14" s="306" t="s">
        <v>77</v>
      </c>
      <c r="E14" s="294" t="s">
        <v>124</v>
      </c>
      <c r="F14" s="304" t="s">
        <v>124</v>
      </c>
      <c r="H14" s="9" t="s">
        <v>13</v>
      </c>
    </row>
    <row r="15" spans="1:8" ht="18" customHeight="1" x14ac:dyDescent="0.2">
      <c r="A15" s="33" t="str">
        <f>OVERALL!A15</f>
        <v>CONFIRM</v>
      </c>
      <c r="B15" s="3">
        <f>IF(C15=0,"-",COUNTIF(D15:F15,"y")/C15)</f>
        <v>0</v>
      </c>
      <c r="C15" s="26">
        <f>$C$2-COUNTIF(D15:F15, "-")</f>
        <v>2</v>
      </c>
      <c r="D15" s="306" t="s">
        <v>77</v>
      </c>
      <c r="E15" s="294" t="s">
        <v>123</v>
      </c>
      <c r="F15" s="304" t="s">
        <v>123</v>
      </c>
      <c r="G15" t="s">
        <v>1</v>
      </c>
    </row>
    <row r="16" spans="1:8" ht="18" customHeight="1" x14ac:dyDescent="0.2">
      <c r="A16" s="2"/>
      <c r="C16" s="63">
        <f>AVERAGE(C13:C15)</f>
        <v>2</v>
      </c>
      <c r="D16" s="27">
        <f t="shared" ref="D16:F16" si="4">COUNTA(D13:D15)-COUNTIF(D13:D15, "-")</f>
        <v>0</v>
      </c>
      <c r="E16" s="27">
        <f t="shared" si="4"/>
        <v>3</v>
      </c>
      <c r="F16" s="27">
        <f t="shared" si="4"/>
        <v>3</v>
      </c>
      <c r="H16" s="15" t="s">
        <v>7</v>
      </c>
    </row>
    <row r="17" spans="1:11" ht="18" customHeight="1" x14ac:dyDescent="0.25">
      <c r="A17" s="20" t="str">
        <f>OVERALL!A17</f>
        <v>EDUCATE</v>
      </c>
      <c r="B17" s="21">
        <f>IF(C22=0,"-",AVERAGE(B18:B21))</f>
        <v>0.5</v>
      </c>
      <c r="C17" s="1" t="s">
        <v>1</v>
      </c>
      <c r="D17" s="29" t="str">
        <f>IF(D22=0,"-",(COUNTIF(D18:D21, "y")/D22)*OVERALL!$C$17)</f>
        <v>-</v>
      </c>
      <c r="E17" s="29">
        <f>IF(E22=0,"-",(COUNTIF(E18:E21, "y")/E22)*OVERALL!$C$17)</f>
        <v>6.25E-2</v>
      </c>
      <c r="F17" s="29">
        <f>IF(F22=0,"-",(COUNTIF(F18:F21, "y")/F22)*OVERALL!$C$17)</f>
        <v>0.1875</v>
      </c>
      <c r="H17" s="9" t="s">
        <v>6</v>
      </c>
    </row>
    <row r="18" spans="1:11" ht="18" customHeight="1" x14ac:dyDescent="0.2">
      <c r="A18" s="33" t="str">
        <f>OVERALL!A18</f>
        <v>INFORM</v>
      </c>
      <c r="B18" s="3">
        <f>IF(C18=0,"-",COUNTIF(D18:F18,"y")/C18)</f>
        <v>0.5</v>
      </c>
      <c r="C18" s="26">
        <f>$C$2-COUNTIF(D18:F18, "-")</f>
        <v>2</v>
      </c>
      <c r="D18" s="306" t="s">
        <v>77</v>
      </c>
      <c r="E18" s="294" t="s">
        <v>123</v>
      </c>
      <c r="F18" s="304" t="s">
        <v>124</v>
      </c>
    </row>
    <row r="19" spans="1:11" ht="18" customHeight="1" x14ac:dyDescent="0.2">
      <c r="A19" s="33" t="str">
        <f>OVERALL!A19</f>
        <v>CHECK</v>
      </c>
      <c r="B19" s="3">
        <f>IF(C19=0,"-",COUNTIF(D19:F19,"y")/C19)</f>
        <v>0</v>
      </c>
      <c r="C19" s="26">
        <f>$C$2-COUNTIF(D19:F19, "-")</f>
        <v>2</v>
      </c>
      <c r="D19" s="306" t="s">
        <v>77</v>
      </c>
      <c r="E19" s="294" t="s">
        <v>123</v>
      </c>
      <c r="F19" s="304" t="s">
        <v>123</v>
      </c>
    </row>
    <row r="20" spans="1:11" ht="18" customHeight="1" x14ac:dyDescent="0.2">
      <c r="A20" s="33" t="str">
        <f>OVERALL!A20</f>
        <v>SEEK</v>
      </c>
      <c r="B20" s="3">
        <f>IF(C20=0,"-",COUNTIF(D20:F20,"y")/C20)</f>
        <v>0.5</v>
      </c>
      <c r="C20" s="26">
        <f>$C$2-COUNTIF(D20:F20, "-")</f>
        <v>2</v>
      </c>
      <c r="D20" s="306" t="s">
        <v>77</v>
      </c>
      <c r="E20" s="294" t="s">
        <v>123</v>
      </c>
      <c r="F20" s="304" t="s">
        <v>124</v>
      </c>
      <c r="H20" t="s">
        <v>1</v>
      </c>
    </row>
    <row r="21" spans="1:11" ht="18" customHeight="1" x14ac:dyDescent="0.2">
      <c r="A21" s="33" t="str">
        <f>OVERALL!A21</f>
        <v>CONFIDENCE</v>
      </c>
      <c r="B21" s="3">
        <f>IF(C21=0,"-",COUNTIF(D21:F21,"y")/C21)</f>
        <v>1</v>
      </c>
      <c r="C21" s="26">
        <f>$C$2-COUNTIF(D21:F21, "-")</f>
        <v>2</v>
      </c>
      <c r="D21" s="306" t="s">
        <v>77</v>
      </c>
      <c r="E21" s="294" t="s">
        <v>124</v>
      </c>
      <c r="F21" s="304" t="s">
        <v>124</v>
      </c>
    </row>
    <row r="22" spans="1:11" ht="18" customHeight="1" x14ac:dyDescent="0.2">
      <c r="A22" s="2"/>
      <c r="C22" s="63">
        <f>AVERAGE(C18:C21)</f>
        <v>2</v>
      </c>
      <c r="D22" s="27">
        <f t="shared" ref="D22:F22" si="5">COUNTA(D18:D21)-COUNTIF(D18:D21, "-")</f>
        <v>0</v>
      </c>
      <c r="E22" s="27">
        <f t="shared" si="5"/>
        <v>4</v>
      </c>
      <c r="F22" s="27">
        <f t="shared" si="5"/>
        <v>4</v>
      </c>
    </row>
    <row r="23" spans="1:11" ht="18" customHeight="1" x14ac:dyDescent="0.2">
      <c r="A23" s="20" t="str">
        <f>OVERALL!A23</f>
        <v>CLOSE</v>
      </c>
      <c r="B23" s="21">
        <f>IF(C27=0,"-",AVERAGE(B24:B26))</f>
        <v>0.33333333333333331</v>
      </c>
      <c r="C23" s="1" t="s">
        <v>1</v>
      </c>
      <c r="D23" s="29" t="str">
        <f>IF(D27=0,"-",(COUNTIF(D24:D26, "y")/D27)*OVERALL!$C$23)</f>
        <v>-</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2</v>
      </c>
      <c r="D24" s="306" t="s">
        <v>77</v>
      </c>
      <c r="E24" s="294" t="s">
        <v>123</v>
      </c>
      <c r="F24" s="304" t="s">
        <v>123</v>
      </c>
    </row>
    <row r="25" spans="1:11" ht="18" customHeight="1" x14ac:dyDescent="0.2">
      <c r="A25" s="33" t="str">
        <f>OVERALL!A25</f>
        <v>GRATITUDE</v>
      </c>
      <c r="B25" s="3">
        <f>IF(C25=0,"-",COUNTIF(D25:F25,"y")/C25)</f>
        <v>0</v>
      </c>
      <c r="C25" s="26">
        <f>$C$2-COUNTIF(D25:F25, "-")</f>
        <v>2</v>
      </c>
      <c r="D25" s="306" t="s">
        <v>77</v>
      </c>
      <c r="E25" s="294" t="s">
        <v>123</v>
      </c>
      <c r="F25" s="304" t="s">
        <v>123</v>
      </c>
    </row>
    <row r="26" spans="1:11" ht="18" customHeight="1" x14ac:dyDescent="0.2">
      <c r="A26" s="33" t="str">
        <f>OVERALL!A26</f>
        <v>THANKS</v>
      </c>
      <c r="B26" s="3">
        <f>IF(C26=0,"-",COUNTIF(D26:F26,"y")/C26)</f>
        <v>1</v>
      </c>
      <c r="C26" s="26">
        <f>$C$2-COUNTIF(D26:F26, "-")</f>
        <v>2</v>
      </c>
      <c r="D26" s="306" t="s">
        <v>77</v>
      </c>
      <c r="E26" s="294" t="s">
        <v>124</v>
      </c>
      <c r="F26" s="304" t="s">
        <v>124</v>
      </c>
    </row>
    <row r="27" spans="1:11" ht="18" customHeight="1" x14ac:dyDescent="0.2">
      <c r="A27" s="2"/>
      <c r="C27" s="63">
        <f>AVERAGE(C24:C26)</f>
        <v>2</v>
      </c>
      <c r="D27" s="27">
        <f t="shared" ref="D27:F27" si="6">COUNTA(D24:D26)-COUNTIF(D24:D26, "-")</f>
        <v>0</v>
      </c>
      <c r="E27" s="27">
        <f t="shared" si="6"/>
        <v>3</v>
      </c>
      <c r="F27" s="27">
        <f t="shared" si="6"/>
        <v>3</v>
      </c>
    </row>
    <row r="28" spans="1:11" ht="18" customHeight="1" x14ac:dyDescent="0.2">
      <c r="A28" s="20" t="str">
        <f>OVERALL!A28</f>
        <v>IMPACT</v>
      </c>
      <c r="B28" s="21">
        <f>IF(C33=0,"-",AVERAGE(B29:B32))</f>
        <v>0.875</v>
      </c>
      <c r="C28" s="1" t="s">
        <v>1</v>
      </c>
      <c r="D28" s="29" t="str">
        <f>IF(D33=0,"-",(COUNTIF(D29:D32, "y")/D33)*OVERALL!$C$28)</f>
        <v>-</v>
      </c>
      <c r="E28" s="29">
        <f>IF(E33=0,"-",(COUNTIF(E29:E32, "y")/E33)*OVERALL!$C$28)</f>
        <v>0.15000000000000002</v>
      </c>
      <c r="F28" s="29">
        <f>IF(F33=0,"-",(COUNTIF(F29:F32, "y")/F33)*OVERALL!$C$28)</f>
        <v>0.2</v>
      </c>
    </row>
    <row r="29" spans="1:11" ht="18" customHeight="1" x14ac:dyDescent="0.2">
      <c r="A29" s="33" t="str">
        <f>OVERALL!A29</f>
        <v>VIBRANCY</v>
      </c>
      <c r="B29" s="3">
        <f>IF(C29=0,"-",COUNTIF(D29:F29,"y")/C29)</f>
        <v>1</v>
      </c>
      <c r="C29" s="26">
        <f>$C$2-COUNTIF(D29:F29, "-")</f>
        <v>2</v>
      </c>
      <c r="D29" s="306" t="s">
        <v>77</v>
      </c>
      <c r="E29" s="294" t="s">
        <v>124</v>
      </c>
      <c r="F29" s="304" t="s">
        <v>124</v>
      </c>
    </row>
    <row r="30" spans="1:11" ht="18" customHeight="1" x14ac:dyDescent="0.2">
      <c r="A30" s="33" t="str">
        <f>OVERALL!A30</f>
        <v>EMPATHY</v>
      </c>
      <c r="B30" s="3">
        <f>IF(C30=0,"-",COUNTIF(D30:F30,"y")/C30)</f>
        <v>1</v>
      </c>
      <c r="C30" s="26">
        <f>$C$2-COUNTIF(D30:F30, "-")</f>
        <v>2</v>
      </c>
      <c r="D30" s="306" t="s">
        <v>77</v>
      </c>
      <c r="E30" s="294" t="s">
        <v>124</v>
      </c>
      <c r="F30" s="304" t="s">
        <v>124</v>
      </c>
    </row>
    <row r="31" spans="1:11" ht="18" customHeight="1" x14ac:dyDescent="0.2">
      <c r="A31" s="33" t="str">
        <f>OVERALL!A31</f>
        <v>CONTROL</v>
      </c>
      <c r="B31" s="3">
        <f>IF(C31=0,"-",COUNTIF(D31:F31,"y")/C31)</f>
        <v>0.5</v>
      </c>
      <c r="C31" s="26">
        <f>$C$2-COUNTIF(D31:F31, "-")</f>
        <v>2</v>
      </c>
      <c r="D31" s="306" t="s">
        <v>77</v>
      </c>
      <c r="E31" s="294" t="s">
        <v>123</v>
      </c>
      <c r="F31" s="304" t="s">
        <v>124</v>
      </c>
    </row>
    <row r="32" spans="1:11" ht="18" customHeight="1" x14ac:dyDescent="0.2">
      <c r="A32" s="33" t="str">
        <f>OVERALL!A32</f>
        <v>CLARITY</v>
      </c>
      <c r="B32" s="3">
        <f>IF(C32=0,"-",COUNTIF(D32:F32,"y")/C32)</f>
        <v>1</v>
      </c>
      <c r="C32" s="26">
        <f>$C$2-COUNTIF(D32:F32, "-")</f>
        <v>2</v>
      </c>
      <c r="D32" s="306" t="s">
        <v>77</v>
      </c>
      <c r="E32" s="294" t="s">
        <v>124</v>
      </c>
      <c r="F32" s="304" t="s">
        <v>124</v>
      </c>
      <c r="K32" t="s">
        <v>1</v>
      </c>
    </row>
    <row r="33" spans="1:13" ht="18" customHeight="1" x14ac:dyDescent="0.2">
      <c r="A33" s="5"/>
      <c r="B33" s="6"/>
      <c r="C33" s="63">
        <f>AVERAGE(C29:C32)</f>
        <v>2</v>
      </c>
      <c r="D33" s="27">
        <f t="shared" ref="D33:F33" si="7">COUNTA(D29:D32)-COUNTIF(D29:D32, "-")</f>
        <v>0</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2</v>
      </c>
      <c r="D35" s="306" t="s">
        <v>77</v>
      </c>
      <c r="E35" s="294" t="s">
        <v>123</v>
      </c>
      <c r="F35" s="304" t="s">
        <v>123</v>
      </c>
      <c r="H35" s="48">
        <v>-0.3</v>
      </c>
      <c r="J35" s="48"/>
      <c r="K35" s="48"/>
      <c r="L35" s="48"/>
    </row>
    <row r="36" spans="1:13" ht="18" customHeight="1" x14ac:dyDescent="0.2">
      <c r="A36" s="45" t="str">
        <f>OVERALL!A36</f>
        <v>AUDIO ISSUE (DISTRACTION)</v>
      </c>
      <c r="B36" s="3">
        <f>IF(C36=0,"-",COUNTIF(D36:F36,"y")/C36)</f>
        <v>0</v>
      </c>
      <c r="C36" s="26">
        <f>$C$2-COUNTIF(D36:F36, "-")</f>
        <v>2</v>
      </c>
      <c r="D36" s="306" t="s">
        <v>77</v>
      </c>
      <c r="E36" s="294" t="s">
        <v>123</v>
      </c>
      <c r="F36" s="304" t="s">
        <v>123</v>
      </c>
      <c r="H36" s="48">
        <v>-0.1</v>
      </c>
      <c r="J36" s="48"/>
      <c r="K36" s="48"/>
      <c r="L36" s="48"/>
    </row>
    <row r="37" spans="1:13" ht="18" customHeight="1" x14ac:dyDescent="0.2">
      <c r="A37" s="5"/>
      <c r="B37" s="6"/>
      <c r="C37" s="63">
        <f>C35</f>
        <v>2</v>
      </c>
      <c r="D37" s="27">
        <f t="shared" ref="D37:F37" si="8">IF(D35="NA","",COUNTIF(D35:D36, "y"))</f>
        <v>0</v>
      </c>
      <c r="E37" s="27">
        <f t="shared" si="8"/>
        <v>0</v>
      </c>
      <c r="F37" s="27">
        <f t="shared" si="8"/>
        <v>0</v>
      </c>
    </row>
    <row r="38" spans="1:13" ht="18" customHeight="1" x14ac:dyDescent="0.2">
      <c r="A38" s="350" t="str">
        <f>OVERALL!A38</f>
        <v>ADDITIONAL INSIGHT</v>
      </c>
      <c r="B38" s="351"/>
      <c r="C38" s="10" t="s">
        <v>1</v>
      </c>
      <c r="D38" s="30"/>
      <c r="E38" s="30"/>
      <c r="F38" s="30"/>
    </row>
    <row r="39" spans="1:13" ht="18" customHeight="1" x14ac:dyDescent="0.2">
      <c r="A39" s="33" t="str">
        <f>OVERALL!A39</f>
        <v>CALL ANSWERED-QUALITY</v>
      </c>
      <c r="B39" s="3">
        <f>IF(C39=0,"-",COUNTIF(D39:F39, "y")/C39)</f>
        <v>0.66666666666666663</v>
      </c>
      <c r="C39" s="26">
        <f t="shared" ref="C39:C45" si="9">$C$2-COUNTIF(D39:F39, "-")</f>
        <v>3</v>
      </c>
      <c r="D39" s="306" t="s">
        <v>123</v>
      </c>
      <c r="E39" s="294" t="s">
        <v>124</v>
      </c>
      <c r="F39" s="304" t="s">
        <v>124</v>
      </c>
    </row>
    <row r="40" spans="1:13" ht="18" customHeight="1" x14ac:dyDescent="0.2">
      <c r="A40" s="33" t="str">
        <f>OVERALL!A40</f>
        <v>TALK TIME</v>
      </c>
      <c r="B40" s="280">
        <f>IF(C40=0,"-",AVERAGE(D40:F40))</f>
        <v>1.3252314814814815E-3</v>
      </c>
      <c r="C40" s="26">
        <f t="shared" si="9"/>
        <v>2</v>
      </c>
      <c r="D40" s="308" t="s">
        <v>77</v>
      </c>
      <c r="E40" s="280">
        <v>4.7453703703703704E-4</v>
      </c>
      <c r="F40" s="280">
        <v>2.1759259259259258E-3</v>
      </c>
      <c r="G40" s="46"/>
      <c r="H40" s="265"/>
      <c r="I40" s="265"/>
      <c r="J40" s="265"/>
      <c r="K40" s="265"/>
      <c r="L40" s="265"/>
      <c r="M40" s="265"/>
    </row>
    <row r="41" spans="1:13" ht="18" customHeight="1" x14ac:dyDescent="0.2">
      <c r="A41" s="33" t="str">
        <f>OVERALL!A41</f>
        <v>ASSESSOR RATING (0-10)</v>
      </c>
      <c r="B41" s="263">
        <f>IF(C41=0,"-",SUM(D41:F41)/C41)</f>
        <v>4</v>
      </c>
      <c r="C41" s="26">
        <f t="shared" si="9"/>
        <v>2</v>
      </c>
      <c r="D41" s="309" t="s">
        <v>77</v>
      </c>
      <c r="E41" s="285">
        <v>3</v>
      </c>
      <c r="F41" s="285">
        <v>5</v>
      </c>
    </row>
    <row r="42" spans="1:13" ht="18" customHeight="1" x14ac:dyDescent="0.2">
      <c r="A42" s="33" t="str">
        <f>OVERALL!A42</f>
        <v>EXPLAINED KEY FEATURES</v>
      </c>
      <c r="B42" s="3">
        <f>IF(C42=0,"-",COUNTIF(D42:F42, "y")/C42)</f>
        <v>0.5</v>
      </c>
      <c r="C42" s="26">
        <f t="shared" si="9"/>
        <v>2</v>
      </c>
      <c r="D42" s="306" t="s">
        <v>77</v>
      </c>
      <c r="E42" s="294" t="s">
        <v>123</v>
      </c>
      <c r="F42" s="304" t="s">
        <v>124</v>
      </c>
      <c r="G42" s="47"/>
      <c r="H42" t="s">
        <v>1</v>
      </c>
    </row>
    <row r="43" spans="1:13" ht="18" customHeight="1" x14ac:dyDescent="0.2">
      <c r="A43" s="33" t="str">
        <f>OVERALL!A43</f>
        <v>REVEALED PRICING</v>
      </c>
      <c r="B43" s="3">
        <f>IF(C43=0,"-",COUNTIF(D43:F43, "y")/C43)</f>
        <v>0.5</v>
      </c>
      <c r="C43" s="26">
        <f t="shared" si="9"/>
        <v>2</v>
      </c>
      <c r="D43" s="306" t="s">
        <v>77</v>
      </c>
      <c r="E43" s="294" t="s">
        <v>123</v>
      </c>
      <c r="F43" s="304" t="s">
        <v>124</v>
      </c>
    </row>
    <row r="44" spans="1:13" ht="18" customHeight="1" x14ac:dyDescent="0.2">
      <c r="A44" s="33" t="str">
        <f>OVERALL!A44</f>
        <v>EXPLAINED ACTIONS &amp; PROCESS</v>
      </c>
      <c r="B44" s="3">
        <f>IF(C44=0,"-",COUNTIF(D44:F44, "y")/C44)</f>
        <v>0.5</v>
      </c>
      <c r="C44" s="26">
        <f t="shared" si="9"/>
        <v>2</v>
      </c>
      <c r="D44" s="306" t="s">
        <v>77</v>
      </c>
      <c r="E44" s="294" t="s">
        <v>123</v>
      </c>
      <c r="F44" s="304" t="s">
        <v>124</v>
      </c>
    </row>
    <row r="45" spans="1:13" ht="18" customHeight="1" x14ac:dyDescent="0.2">
      <c r="A45" s="33" t="str">
        <f>OVERALL!A45</f>
        <v>WEBSITE EDUCATION</v>
      </c>
      <c r="B45" s="3">
        <f>IF(C45=0,"-",COUNTIF(D45:F45, "y")/C45)</f>
        <v>0</v>
      </c>
      <c r="C45" s="26">
        <f t="shared" si="9"/>
        <v>2</v>
      </c>
      <c r="D45" s="306" t="s">
        <v>77</v>
      </c>
      <c r="E45" s="294" t="s">
        <v>123</v>
      </c>
      <c r="F45" s="304" t="s">
        <v>123</v>
      </c>
    </row>
    <row r="46" spans="1:13" ht="18" customHeight="1" x14ac:dyDescent="0.2">
      <c r="A46" s="18"/>
      <c r="B46" s="3"/>
      <c r="C46" s="26"/>
      <c r="D46" s="263"/>
      <c r="E46" s="263"/>
      <c r="F46" s="263"/>
    </row>
    <row r="47" spans="1:13" ht="75" x14ac:dyDescent="0.2">
      <c r="A47" s="25" t="s">
        <v>1</v>
      </c>
      <c r="B47" s="352" t="s">
        <v>35</v>
      </c>
      <c r="C47" s="353"/>
      <c r="D47" s="23" t="s">
        <v>156</v>
      </c>
      <c r="E47" s="23" t="s">
        <v>136</v>
      </c>
      <c r="F47" s="23" t="s">
        <v>150</v>
      </c>
    </row>
    <row r="48" spans="1:13" ht="18" customHeight="1" x14ac:dyDescent="0.2">
      <c r="A48" s="59" t="s">
        <v>47</v>
      </c>
      <c r="D48" s="50" t="str">
        <f t="shared" ref="D48:F48" si="10">IF(D$2="","",IF(D$39="n", "", SUM(D$6,D$12,D$17,D$23,D$28,D$34)))</f>
        <v/>
      </c>
      <c r="E48" s="50">
        <f t="shared" si="10"/>
        <v>0.37916666666666665</v>
      </c>
      <c r="F48" s="50">
        <f t="shared" si="10"/>
        <v>0.5541666666666667</v>
      </c>
    </row>
    <row r="50" spans="1:6" ht="19" x14ac:dyDescent="0.25">
      <c r="A50" s="110" t="s">
        <v>74</v>
      </c>
      <c r="B50" s="90" t="s">
        <v>75</v>
      </c>
    </row>
    <row r="51" spans="1:6" x14ac:dyDescent="0.2">
      <c r="A51" s="111" t="s">
        <v>63</v>
      </c>
      <c r="B51" s="112">
        <v>0.3</v>
      </c>
      <c r="C51" s="111"/>
      <c r="D51" s="256">
        <f>[1]LAUNCESTON!D$4</f>
        <v>0</v>
      </c>
      <c r="E51" s="256">
        <f>[1]LAUNCESTON!E$4</f>
        <v>0.44</v>
      </c>
      <c r="F51" s="256">
        <f>[1]LAUNCESTON!F$4</f>
        <v>0.73875000000000002</v>
      </c>
    </row>
    <row r="52" spans="1:6" x14ac:dyDescent="0.2">
      <c r="A52" s="111" t="s">
        <v>64</v>
      </c>
      <c r="B52" s="112">
        <v>0.7</v>
      </c>
      <c r="C52" s="111"/>
      <c r="D52" s="257" t="str">
        <f t="shared" ref="D52:F52" si="11">D4</f>
        <v>-</v>
      </c>
      <c r="E52" s="257">
        <f t="shared" si="11"/>
        <v>0.37916666666666665</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0.13200000000000001</v>
      </c>
      <c r="F55" s="257">
        <f t="shared" si="12"/>
        <v>0.22162499999999999</v>
      </c>
    </row>
    <row r="56" spans="1:6" x14ac:dyDescent="0.2">
      <c r="A56" s="111" t="s">
        <v>64</v>
      </c>
      <c r="B56" s="111"/>
      <c r="C56" s="111"/>
      <c r="D56" s="257" t="str">
        <f t="shared" ref="D56:F56" si="13">IF(D52="-","-",D52*$B$52)</f>
        <v>-</v>
      </c>
      <c r="E56" s="257">
        <f t="shared" si="13"/>
        <v>0.26541666666666663</v>
      </c>
      <c r="F56" s="257">
        <f t="shared" si="13"/>
        <v>0.38791666666666669</v>
      </c>
    </row>
    <row r="57" spans="1:6" x14ac:dyDescent="0.2">
      <c r="A57" s="114" t="s">
        <v>59</v>
      </c>
      <c r="B57" s="114"/>
      <c r="C57" s="114"/>
      <c r="D57" s="115">
        <f t="shared" ref="D57:F57" si="14">IF(D51="","",IF(D52="","",SUM(D55:D56)))</f>
        <v>0</v>
      </c>
      <c r="E57" s="115">
        <f t="shared" si="14"/>
        <v>0.39741666666666664</v>
      </c>
      <c r="F57" s="115">
        <f t="shared" si="14"/>
        <v>0.60954166666666665</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307" t="s">
        <v>157</v>
      </c>
      <c r="E2" s="293" t="s">
        <v>131</v>
      </c>
      <c r="F2" s="303" t="s">
        <v>142</v>
      </c>
    </row>
    <row r="3" spans="1:8" ht="19" x14ac:dyDescent="0.2">
      <c r="A3" s="32" t="str">
        <f>OVERALL!H1</f>
        <v>MONASH CITY</v>
      </c>
      <c r="B3" s="248">
        <f>OVERALL!H3</f>
        <v>0.56333333333333324</v>
      </c>
      <c r="C3" s="108" t="s">
        <v>73</v>
      </c>
      <c r="D3" s="109">
        <f>IF(D2="-","-",D57)</f>
        <v>0.58416666666666661</v>
      </c>
      <c r="E3" s="109">
        <f t="shared" ref="E3:F3" si="0">IF(E2="-","-",E57)</f>
        <v>0.57541666666666669</v>
      </c>
      <c r="F3" s="109">
        <f t="shared" si="0"/>
        <v>0.53041666666666665</v>
      </c>
    </row>
    <row r="4" spans="1:8" ht="18" customHeight="1" x14ac:dyDescent="0.2">
      <c r="A4" s="17" t="str">
        <f>OVERALL!A4</f>
        <v>QUALITY SCORE</v>
      </c>
      <c r="B4" s="38">
        <f>IF(C2=0, "-", IF(COUNTIF(D39:F39, "n")=C2, "-", IF(COUNT(D4:F4)=0, "-", AVERAGE(D4:F4))))</f>
        <v>0.43333333333333329</v>
      </c>
      <c r="C4" s="58" t="s">
        <v>1</v>
      </c>
      <c r="D4" s="38">
        <f>IF(D48&lt;0%,0%,IF(D$2="-","-",IF(D$39="n", "-", SUM(D$6,D$12,D$17,D$23,D$28,D$34))))</f>
        <v>0.45416666666666666</v>
      </c>
      <c r="E4" s="38">
        <f t="shared" ref="E4:F4" si="1">IF(E48&lt;0%,0%,IF(E$2="-","-",IF(E$39="n", "-", SUM(E$6,E$12,E$17,E$23,E$28,E$34))))</f>
        <v>0.44166666666666665</v>
      </c>
      <c r="F4" s="38">
        <f t="shared" si="1"/>
        <v>0.40416666666666667</v>
      </c>
      <c r="H4" s="12" t="s">
        <v>8</v>
      </c>
    </row>
    <row r="5" spans="1:8" ht="18" customHeight="1" x14ac:dyDescent="0.25">
      <c r="A5" s="57" t="s">
        <v>48</v>
      </c>
      <c r="B5" s="58">
        <f>IF(B6="-","-",AVERAGE(D5:F5))</f>
        <v>0.43333333333333329</v>
      </c>
      <c r="C5" s="58" t="s">
        <v>1</v>
      </c>
      <c r="D5" s="60">
        <f t="shared" ref="D5:F5" si="2">IF(D$2="","",IF(D$39="n", "", SUM(D$6,D$12,D$17,D$23,D$28)))</f>
        <v>0.45416666666666666</v>
      </c>
      <c r="E5" s="60">
        <f t="shared" si="2"/>
        <v>0.44166666666666665</v>
      </c>
      <c r="F5" s="60">
        <f t="shared" si="2"/>
        <v>0.40416666666666667</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306" t="s">
        <v>123</v>
      </c>
      <c r="E7" s="302" t="s">
        <v>123</v>
      </c>
      <c r="F7" s="302" t="s">
        <v>123</v>
      </c>
      <c r="H7" s="11" t="s">
        <v>2</v>
      </c>
    </row>
    <row r="8" spans="1:8" ht="18" customHeight="1" x14ac:dyDescent="0.25">
      <c r="A8" s="33" t="str">
        <f>OVERALL!A8</f>
        <v>INTENT</v>
      </c>
      <c r="B8" s="3">
        <f>IF(C8=0,"-",COUNTIF(D8:F8,"y")/C8)</f>
        <v>0</v>
      </c>
      <c r="C8" s="26">
        <f>$C$2-COUNTIF(D8:F8, "-")</f>
        <v>3</v>
      </c>
      <c r="D8" s="306" t="s">
        <v>123</v>
      </c>
      <c r="E8" s="292" t="s">
        <v>123</v>
      </c>
      <c r="F8" s="302" t="s">
        <v>123</v>
      </c>
      <c r="H8" s="7" t="s">
        <v>15</v>
      </c>
    </row>
    <row r="9" spans="1:8" ht="18" customHeight="1" x14ac:dyDescent="0.2">
      <c r="A9" s="33" t="str">
        <f>OVERALL!A9</f>
        <v>NAME</v>
      </c>
      <c r="B9" s="3">
        <f>IF(C9=0,"-",COUNTIF(D9:F9,"y")/C9)</f>
        <v>0</v>
      </c>
      <c r="C9" s="26">
        <f>$C$2-COUNTIF(D9:F9, "-")</f>
        <v>3</v>
      </c>
      <c r="D9" s="306" t="s">
        <v>123</v>
      </c>
      <c r="E9" s="292" t="s">
        <v>123</v>
      </c>
      <c r="F9" s="302" t="s">
        <v>123</v>
      </c>
      <c r="H9" t="s">
        <v>1</v>
      </c>
    </row>
    <row r="10" spans="1:8" ht="18" customHeight="1" x14ac:dyDescent="0.2">
      <c r="A10" s="33" t="str">
        <f>OVERALL!A10</f>
        <v>BRIDGE</v>
      </c>
      <c r="B10" s="3">
        <f>IF(C10=0,"-",COUNTIF(D10:F10,"y")/C10)</f>
        <v>0</v>
      </c>
      <c r="C10" s="26">
        <f>$C$2-COUNTIF(D10:F10, "-")</f>
        <v>3</v>
      </c>
      <c r="D10" s="306" t="s">
        <v>123</v>
      </c>
      <c r="E10" s="292" t="s">
        <v>123</v>
      </c>
      <c r="F10" s="302"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306" t="s">
        <v>123</v>
      </c>
      <c r="E13" s="292" t="s">
        <v>123</v>
      </c>
      <c r="F13" s="302" t="s">
        <v>123</v>
      </c>
      <c r="H13" s="14" t="s">
        <v>4</v>
      </c>
    </row>
    <row r="14" spans="1:8" ht="18" customHeight="1" x14ac:dyDescent="0.25">
      <c r="A14" s="33" t="str">
        <f>OVERALL!A14</f>
        <v>LISTEN</v>
      </c>
      <c r="B14" s="3">
        <f>IF(C14=0,"-",COUNTIF(D14:F14,"y")/C14)</f>
        <v>1</v>
      </c>
      <c r="C14" s="26">
        <f>$C$2-COUNTIF(D14:F14, "-")</f>
        <v>3</v>
      </c>
      <c r="D14" s="306" t="s">
        <v>124</v>
      </c>
      <c r="E14" s="292" t="s">
        <v>124</v>
      </c>
      <c r="F14" s="302" t="s">
        <v>124</v>
      </c>
      <c r="H14" s="9" t="s">
        <v>13</v>
      </c>
    </row>
    <row r="15" spans="1:8" ht="18" customHeight="1" x14ac:dyDescent="0.2">
      <c r="A15" s="33" t="str">
        <f>OVERALL!A15</f>
        <v>CONFIRM</v>
      </c>
      <c r="B15" s="3">
        <f>IF(C15=0,"-",COUNTIF(D15:F15,"y")/C15)</f>
        <v>0</v>
      </c>
      <c r="C15" s="26">
        <f>$C$2-COUNTIF(D15:F15, "-")</f>
        <v>3</v>
      </c>
      <c r="D15" s="306" t="s">
        <v>123</v>
      </c>
      <c r="E15" s="292" t="s">
        <v>123</v>
      </c>
      <c r="F15" s="302"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306" t="s">
        <v>124</v>
      </c>
      <c r="E18" s="292" t="s">
        <v>123</v>
      </c>
      <c r="F18" s="302" t="s">
        <v>124</v>
      </c>
    </row>
    <row r="19" spans="1:11" ht="18" customHeight="1" x14ac:dyDescent="0.2">
      <c r="A19" s="33" t="str">
        <f>OVERALL!A19</f>
        <v>CHECK</v>
      </c>
      <c r="B19" s="3">
        <f>IF(C19=0,"-",COUNTIF(D19:F19,"y")/C19)</f>
        <v>0</v>
      </c>
      <c r="C19" s="26">
        <f>$C$2-COUNTIF(D19:F19, "-")</f>
        <v>3</v>
      </c>
      <c r="D19" s="306" t="s">
        <v>123</v>
      </c>
      <c r="E19" s="292" t="s">
        <v>123</v>
      </c>
      <c r="F19" s="302" t="s">
        <v>123</v>
      </c>
    </row>
    <row r="20" spans="1:11" ht="18" customHeight="1" x14ac:dyDescent="0.2">
      <c r="A20" s="33" t="str">
        <f>OVERALL!A20</f>
        <v>SEEK</v>
      </c>
      <c r="B20" s="3">
        <f>IF(C20=0,"-",COUNTIF(D20:F20,"y")/C20)</f>
        <v>1</v>
      </c>
      <c r="C20" s="26">
        <f>$C$2-COUNTIF(D20:F20, "-")</f>
        <v>3</v>
      </c>
      <c r="D20" s="306" t="s">
        <v>124</v>
      </c>
      <c r="E20" s="292" t="s">
        <v>124</v>
      </c>
      <c r="F20" s="302" t="s">
        <v>124</v>
      </c>
      <c r="H20" t="s">
        <v>1</v>
      </c>
    </row>
    <row r="21" spans="1:11" ht="18" customHeight="1" x14ac:dyDescent="0.2">
      <c r="A21" s="33" t="str">
        <f>OVERALL!A21</f>
        <v>CONFIDENCE</v>
      </c>
      <c r="B21" s="3">
        <f>IF(C21=0,"-",COUNTIF(D21:F21,"y")/C21)</f>
        <v>1</v>
      </c>
      <c r="C21" s="26">
        <f>$C$2-COUNTIF(D21:F21, "-")</f>
        <v>3</v>
      </c>
      <c r="D21" s="306" t="s">
        <v>124</v>
      </c>
      <c r="E21" s="292" t="s">
        <v>124</v>
      </c>
      <c r="F21" s="302"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v>
      </c>
      <c r="C24" s="26">
        <f>$C$2-COUNTIF(D24:F24, "-")</f>
        <v>3</v>
      </c>
      <c r="D24" s="306" t="s">
        <v>123</v>
      </c>
      <c r="E24" s="292" t="s">
        <v>123</v>
      </c>
      <c r="F24" s="302" t="s">
        <v>123</v>
      </c>
    </row>
    <row r="25" spans="1:11" ht="18" customHeight="1" x14ac:dyDescent="0.2">
      <c r="A25" s="33" t="str">
        <f>OVERALL!A25</f>
        <v>GRATITUDE</v>
      </c>
      <c r="B25" s="3">
        <f>IF(C25=0,"-",COUNTIF(D25:F25,"y")/C25)</f>
        <v>0</v>
      </c>
      <c r="C25" s="26">
        <f>$C$2-COUNTIF(D25:F25, "-")</f>
        <v>3</v>
      </c>
      <c r="D25" s="306" t="s">
        <v>123</v>
      </c>
      <c r="E25" s="292" t="s">
        <v>123</v>
      </c>
      <c r="F25" s="302" t="s">
        <v>123</v>
      </c>
    </row>
    <row r="26" spans="1:11" ht="18" customHeight="1" x14ac:dyDescent="0.2">
      <c r="A26" s="33" t="str">
        <f>OVERALL!A26</f>
        <v>THANKS</v>
      </c>
      <c r="B26" s="3">
        <f>IF(C26=0,"-",COUNTIF(D26:F26,"y")/C26)</f>
        <v>1</v>
      </c>
      <c r="C26" s="26">
        <f>$C$2-COUNTIF(D26:F26, "-")</f>
        <v>3</v>
      </c>
      <c r="D26" s="306" t="s">
        <v>124</v>
      </c>
      <c r="E26" s="292" t="s">
        <v>124</v>
      </c>
      <c r="F26" s="302"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0.75</v>
      </c>
      <c r="C28" s="1" t="s">
        <v>1</v>
      </c>
      <c r="D28" s="29">
        <f>IF(D33=0,"-",(COUNTIF(D29:D32, "y")/D33)*OVERALL!$C$28)</f>
        <v>0.15000000000000002</v>
      </c>
      <c r="E28" s="29">
        <f>IF(E33=0,"-",(COUNTIF(E29:E32, "y")/E33)*OVERALL!$C$28)</f>
        <v>0.2</v>
      </c>
      <c r="F28" s="29">
        <f>IF(F33=0,"-",(COUNTIF(F29:F32, "y")/F33)*OVERALL!$C$28)</f>
        <v>0.1</v>
      </c>
    </row>
    <row r="29" spans="1:11" ht="18" customHeight="1" x14ac:dyDescent="0.2">
      <c r="A29" s="33" t="str">
        <f>OVERALL!A29</f>
        <v>VIBRANCY</v>
      </c>
      <c r="B29" s="3">
        <f>IF(C29=0,"-",COUNTIF(D29:F29,"y")/C29)</f>
        <v>1</v>
      </c>
      <c r="C29" s="26">
        <f>$C$2-COUNTIF(D29:F29, "-")</f>
        <v>3</v>
      </c>
      <c r="D29" s="306" t="s">
        <v>124</v>
      </c>
      <c r="E29" s="292" t="s">
        <v>124</v>
      </c>
      <c r="F29" s="302" t="s">
        <v>124</v>
      </c>
    </row>
    <row r="30" spans="1:11" ht="18" customHeight="1" x14ac:dyDescent="0.2">
      <c r="A30" s="33" t="str">
        <f>OVERALL!A30</f>
        <v>EMPATHY</v>
      </c>
      <c r="B30" s="3">
        <f>IF(C30=0,"-",COUNTIF(D30:F30,"y")/C30)</f>
        <v>0.66666666666666663</v>
      </c>
      <c r="C30" s="26">
        <f>$C$2-COUNTIF(D30:F30, "-")</f>
        <v>3</v>
      </c>
      <c r="D30" s="306" t="s">
        <v>124</v>
      </c>
      <c r="E30" s="292" t="s">
        <v>124</v>
      </c>
      <c r="F30" s="302" t="s">
        <v>123</v>
      </c>
    </row>
    <row r="31" spans="1:11" ht="18" customHeight="1" x14ac:dyDescent="0.2">
      <c r="A31" s="33" t="str">
        <f>OVERALL!A31</f>
        <v>CONTROL</v>
      </c>
      <c r="B31" s="3">
        <f>IF(C31=0,"-",COUNTIF(D31:F31,"y")/C31)</f>
        <v>0.33333333333333331</v>
      </c>
      <c r="C31" s="26">
        <f>$C$2-COUNTIF(D31:F31, "-")</f>
        <v>3</v>
      </c>
      <c r="D31" s="306" t="s">
        <v>123</v>
      </c>
      <c r="E31" s="292" t="s">
        <v>124</v>
      </c>
      <c r="F31" s="302" t="s">
        <v>123</v>
      </c>
    </row>
    <row r="32" spans="1:11" ht="18" customHeight="1" x14ac:dyDescent="0.2">
      <c r="A32" s="33" t="str">
        <f>OVERALL!A32</f>
        <v>CLARITY</v>
      </c>
      <c r="B32" s="3">
        <f>IF(C32=0,"-",COUNTIF(D32:F32,"y")/C32)</f>
        <v>1</v>
      </c>
      <c r="C32" s="26">
        <f>$C$2-COUNTIF(D32:F32, "-")</f>
        <v>3</v>
      </c>
      <c r="D32" s="306" t="s">
        <v>124</v>
      </c>
      <c r="E32" s="292" t="s">
        <v>124</v>
      </c>
      <c r="F32" s="302"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6" t="s">
        <v>123</v>
      </c>
      <c r="E35" s="292" t="s">
        <v>123</v>
      </c>
      <c r="F35" s="302" t="s">
        <v>123</v>
      </c>
      <c r="H35" s="48">
        <v>-0.3</v>
      </c>
      <c r="J35" s="48"/>
      <c r="K35" s="48"/>
      <c r="L35" s="48"/>
    </row>
    <row r="36" spans="1:13" ht="18" customHeight="1" x14ac:dyDescent="0.2">
      <c r="A36" s="45" t="str">
        <f>OVERALL!A36</f>
        <v>AUDIO ISSUE (DISTRACTION)</v>
      </c>
      <c r="B36" s="3">
        <f>IF(C36=0,"-",COUNTIF(D36:F36,"y")/C36)</f>
        <v>0</v>
      </c>
      <c r="C36" s="26">
        <f>$C$2-COUNTIF(D36:F36, "-")</f>
        <v>3</v>
      </c>
      <c r="D36" s="306" t="s">
        <v>123</v>
      </c>
      <c r="E36" s="292" t="s">
        <v>123</v>
      </c>
      <c r="F36" s="302"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0" t="str">
        <f>OVERALL!A38</f>
        <v>ADDITIONAL INSIGHT</v>
      </c>
      <c r="B38" s="351"/>
      <c r="C38" s="10" t="s">
        <v>1</v>
      </c>
      <c r="D38" s="30"/>
      <c r="E38" s="30"/>
      <c r="F38" s="30"/>
    </row>
    <row r="39" spans="1:13" ht="18" customHeight="1" x14ac:dyDescent="0.2">
      <c r="A39" s="33" t="str">
        <f>OVERALL!A39</f>
        <v>CALL ANSWERED-QUALITY</v>
      </c>
      <c r="B39" s="3">
        <f>IF(C39=0,"-",COUNTIF(D39:F39, "y")/C39)</f>
        <v>1</v>
      </c>
      <c r="C39" s="26">
        <f t="shared" ref="C39:C45" si="9">$C$2-COUNTIF(D39:F39, "-")</f>
        <v>3</v>
      </c>
      <c r="D39" s="306" t="s">
        <v>124</v>
      </c>
      <c r="E39" s="292" t="s">
        <v>124</v>
      </c>
      <c r="F39" s="302" t="s">
        <v>124</v>
      </c>
    </row>
    <row r="40" spans="1:13" ht="18" customHeight="1" x14ac:dyDescent="0.2">
      <c r="A40" s="33" t="str">
        <f>OVERALL!A40</f>
        <v>TALK TIME</v>
      </c>
      <c r="B40" s="280">
        <f>IF(C40=0,"-",AVERAGE(D40:F40))</f>
        <v>1.4390432098765431E-3</v>
      </c>
      <c r="C40" s="26">
        <f t="shared" si="9"/>
        <v>3</v>
      </c>
      <c r="D40" s="280">
        <v>1.4351851851851852E-3</v>
      </c>
      <c r="E40" s="280">
        <v>1.2962962962962963E-3</v>
      </c>
      <c r="F40" s="280">
        <v>1.5856481481481481E-3</v>
      </c>
      <c r="G40" s="46"/>
      <c r="H40" s="265"/>
      <c r="I40" s="265"/>
      <c r="J40" s="265"/>
      <c r="K40" s="265"/>
      <c r="L40" s="265"/>
      <c r="M40" s="265"/>
    </row>
    <row r="41" spans="1:13" ht="18" customHeight="1" x14ac:dyDescent="0.2">
      <c r="A41" s="33" t="str">
        <f>OVERALL!A41</f>
        <v>ASSESSOR RATING (0-10)</v>
      </c>
      <c r="B41" s="263">
        <f>IF(C41=0,"-",SUM(D41:F41)/C41)</f>
        <v>4.333333333333333</v>
      </c>
      <c r="C41" s="26">
        <f t="shared" si="9"/>
        <v>3</v>
      </c>
      <c r="D41" s="285">
        <v>4</v>
      </c>
      <c r="E41" s="285">
        <v>5</v>
      </c>
      <c r="F41" s="285">
        <v>4</v>
      </c>
    </row>
    <row r="42" spans="1:13" ht="18" customHeight="1" x14ac:dyDescent="0.2">
      <c r="A42" s="33" t="str">
        <f>OVERALL!A42</f>
        <v>EXPLAINED KEY FEATURES</v>
      </c>
      <c r="B42" s="3">
        <f>IF(C42=0,"-",COUNTIF(D42:F42, "y")/C42)</f>
        <v>0.66666666666666663</v>
      </c>
      <c r="C42" s="26">
        <f t="shared" si="9"/>
        <v>3</v>
      </c>
      <c r="D42" s="306" t="s">
        <v>124</v>
      </c>
      <c r="E42" s="292" t="s">
        <v>123</v>
      </c>
      <c r="F42" s="302" t="s">
        <v>124</v>
      </c>
      <c r="G42" s="47"/>
      <c r="H42" t="s">
        <v>1</v>
      </c>
    </row>
    <row r="43" spans="1:13" ht="18" customHeight="1" x14ac:dyDescent="0.2">
      <c r="A43" s="33" t="str">
        <f>OVERALL!A43</f>
        <v>REVEALED PRICING</v>
      </c>
      <c r="B43" s="3">
        <f>IF(C43=0,"-",COUNTIF(D43:F43, "y")/C43)</f>
        <v>0.33333333333333331</v>
      </c>
      <c r="C43" s="26">
        <f t="shared" si="9"/>
        <v>3</v>
      </c>
      <c r="D43" s="306" t="s">
        <v>124</v>
      </c>
      <c r="E43" s="292" t="s">
        <v>123</v>
      </c>
      <c r="F43" s="302" t="s">
        <v>123</v>
      </c>
    </row>
    <row r="44" spans="1:13" ht="18" customHeight="1" x14ac:dyDescent="0.2">
      <c r="A44" s="33" t="str">
        <f>OVERALL!A44</f>
        <v>EXPLAINED ACTIONS &amp; PROCESS</v>
      </c>
      <c r="B44" s="3">
        <f>IF(C44=0,"-",COUNTIF(D44:F44, "y")/C44)</f>
        <v>0.66666666666666663</v>
      </c>
      <c r="C44" s="26">
        <f t="shared" si="9"/>
        <v>3</v>
      </c>
      <c r="D44" s="306" t="s">
        <v>124</v>
      </c>
      <c r="E44" s="292" t="s">
        <v>123</v>
      </c>
      <c r="F44" s="302" t="s">
        <v>124</v>
      </c>
    </row>
    <row r="45" spans="1:13" ht="18" customHeight="1" x14ac:dyDescent="0.2">
      <c r="A45" s="33" t="str">
        <f>OVERALL!A45</f>
        <v>WEBSITE EDUCATION</v>
      </c>
      <c r="B45" s="3">
        <f>IF(C45=0,"-",COUNTIF(D45:F45, "y")/C45)</f>
        <v>0.66666666666666663</v>
      </c>
      <c r="C45" s="26">
        <f t="shared" si="9"/>
        <v>3</v>
      </c>
      <c r="D45" s="306" t="s">
        <v>123</v>
      </c>
      <c r="E45" s="292" t="s">
        <v>124</v>
      </c>
      <c r="F45" s="302" t="s">
        <v>124</v>
      </c>
    </row>
    <row r="46" spans="1:13" ht="18" customHeight="1" x14ac:dyDescent="0.2">
      <c r="A46" s="18"/>
      <c r="B46" s="3"/>
      <c r="C46" s="26"/>
      <c r="D46" s="263"/>
      <c r="E46" s="263"/>
      <c r="F46" s="263"/>
    </row>
    <row r="47" spans="1:13" ht="165" x14ac:dyDescent="0.2">
      <c r="A47" s="25" t="s">
        <v>1</v>
      </c>
      <c r="B47" s="352" t="s">
        <v>35</v>
      </c>
      <c r="C47" s="353"/>
      <c r="D47" s="23" t="s">
        <v>158</v>
      </c>
      <c r="E47" s="23" t="s">
        <v>144</v>
      </c>
      <c r="F47" s="23" t="s">
        <v>143</v>
      </c>
    </row>
    <row r="48" spans="1:13" ht="18" customHeight="1" x14ac:dyDescent="0.2">
      <c r="A48" s="59" t="s">
        <v>47</v>
      </c>
      <c r="D48" s="50">
        <f t="shared" ref="D48:F48" si="10">IF(D$2="","",IF(D$39="n", "", SUM(D$6,D$12,D$17,D$23,D$28,D$34)))</f>
        <v>0.45416666666666666</v>
      </c>
      <c r="E48" s="50">
        <f t="shared" si="10"/>
        <v>0.44166666666666665</v>
      </c>
      <c r="F48" s="50">
        <f t="shared" si="10"/>
        <v>0.40416666666666667</v>
      </c>
    </row>
    <row r="50" spans="1:6" ht="19" x14ac:dyDescent="0.25">
      <c r="A50" s="110" t="s">
        <v>74</v>
      </c>
      <c r="B50" s="90" t="s">
        <v>75</v>
      </c>
    </row>
    <row r="51" spans="1:6" x14ac:dyDescent="0.2">
      <c r="A51" s="111" t="s">
        <v>63</v>
      </c>
      <c r="B51" s="112">
        <v>0.3</v>
      </c>
      <c r="C51" s="111"/>
      <c r="D51" s="256">
        <f>[1]MONASH!D$4</f>
        <v>0.88749999999999996</v>
      </c>
      <c r="E51" s="256">
        <f>[1]MONASH!E$4</f>
        <v>0.88749999999999996</v>
      </c>
      <c r="F51" s="256">
        <f>[1]MONASH!F$4</f>
        <v>0.82499999999999996</v>
      </c>
    </row>
    <row r="52" spans="1:6" x14ac:dyDescent="0.2">
      <c r="A52" s="111" t="s">
        <v>64</v>
      </c>
      <c r="B52" s="112">
        <v>0.7</v>
      </c>
      <c r="C52" s="111"/>
      <c r="D52" s="257">
        <f t="shared" ref="D52:F52" si="11">D4</f>
        <v>0.45416666666666666</v>
      </c>
      <c r="E52" s="257">
        <f t="shared" si="11"/>
        <v>0.44166666666666665</v>
      </c>
      <c r="F52" s="257">
        <f t="shared" si="11"/>
        <v>0.40416666666666667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0.26624999999999999</v>
      </c>
      <c r="E55" s="257">
        <f t="shared" ref="E55:F55" si="12">IF(E51="-","-",E51*$B$51)</f>
        <v>0.26624999999999999</v>
      </c>
      <c r="F55" s="257">
        <f t="shared" si="12"/>
        <v>0.24749999999999997</v>
      </c>
    </row>
    <row r="56" spans="1:6" x14ac:dyDescent="0.2">
      <c r="A56" s="111" t="s">
        <v>64</v>
      </c>
      <c r="B56" s="111"/>
      <c r="C56" s="111"/>
      <c r="D56" s="257">
        <f t="shared" ref="D56:F56" si="13">IF(D52="-","-",D52*$B$52)</f>
        <v>0.31791666666666663</v>
      </c>
      <c r="E56" s="257">
        <f t="shared" si="13"/>
        <v>0.30916666666666665</v>
      </c>
      <c r="F56" s="257">
        <f t="shared" si="13"/>
        <v>0.28291666666666665</v>
      </c>
    </row>
    <row r="57" spans="1:6" x14ac:dyDescent="0.2">
      <c r="A57" s="114" t="s">
        <v>59</v>
      </c>
      <c r="B57" s="114"/>
      <c r="C57" s="114"/>
      <c r="D57" s="115">
        <f t="shared" ref="D57:F57" si="14">IF(D51="","",IF(D52="","",SUM(D55:D56)))</f>
        <v>0.58416666666666661</v>
      </c>
      <c r="E57" s="115">
        <f t="shared" si="14"/>
        <v>0.57541666666666669</v>
      </c>
      <c r="F57" s="115">
        <f t="shared" si="14"/>
        <v>0.53041666666666665</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39"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307" t="s">
        <v>159</v>
      </c>
      <c r="E2" s="303" t="s">
        <v>147</v>
      </c>
      <c r="F2" s="303" t="s">
        <v>145</v>
      </c>
    </row>
    <row r="3" spans="1:8" ht="19" x14ac:dyDescent="0.2">
      <c r="A3" s="32" t="str">
        <f>OVERALL!I1</f>
        <v>CITY OF ONKAPARINGA</v>
      </c>
      <c r="B3" s="248">
        <f>OVERALL!I3</f>
        <v>0.64687499999999998</v>
      </c>
      <c r="C3" s="108" t="s">
        <v>73</v>
      </c>
      <c r="D3" s="109">
        <f>IF(D2="-","-",D57)</f>
        <v>0.64979166666666677</v>
      </c>
      <c r="E3" s="109">
        <f t="shared" ref="E3:F3" si="0">IF(E2="-","-",E57)</f>
        <v>0.58270833333333327</v>
      </c>
      <c r="F3" s="109">
        <f t="shared" si="0"/>
        <v>0.70812499999999989</v>
      </c>
    </row>
    <row r="4" spans="1:8" ht="18" customHeight="1" x14ac:dyDescent="0.2">
      <c r="A4" s="17" t="str">
        <f>OVERALL!A4</f>
        <v>QUALITY SCORE</v>
      </c>
      <c r="B4" s="38">
        <f>IF(C2=0, "-", IF(COUNTIF(D39:F39, "n")=C2, "-", IF(COUNT(D4:F4)=0, "-", AVERAGE(D4:F4))))</f>
        <v>0.6</v>
      </c>
      <c r="C4" s="58" t="s">
        <v>1</v>
      </c>
      <c r="D4" s="38">
        <f>IF(D48&lt;0%,0%,IF(D$2="-","-",IF(D$39="n", "-", SUM(D$6,D$12,D$17,D$23,D$28,D$34))))</f>
        <v>0.60416666666666674</v>
      </c>
      <c r="E4" s="38">
        <f t="shared" ref="E4:F4" si="1">IF(E48&lt;0%,0%,IF(E$2="-","-",IF(E$39="n", "-", SUM(E$6,E$12,E$17,E$23,E$28,E$34))))</f>
        <v>0.5083333333333333</v>
      </c>
      <c r="F4" s="38">
        <f t="shared" si="1"/>
        <v>0.6875</v>
      </c>
      <c r="H4" s="12" t="s">
        <v>8</v>
      </c>
    </row>
    <row r="5" spans="1:8" ht="18" customHeight="1" x14ac:dyDescent="0.25">
      <c r="A5" s="57" t="s">
        <v>48</v>
      </c>
      <c r="B5" s="58">
        <f>IF(B6="-","-",AVERAGE(D5:F5))</f>
        <v>0.6</v>
      </c>
      <c r="C5" s="58" t="s">
        <v>1</v>
      </c>
      <c r="D5" s="60">
        <f t="shared" ref="D5:F5" si="2">IF(D$2="","",IF(D$39="n", "", SUM(D$6,D$12,D$17,D$23,D$28)))</f>
        <v>0.60416666666666674</v>
      </c>
      <c r="E5" s="60">
        <f t="shared" si="2"/>
        <v>0.5083333333333333</v>
      </c>
      <c r="F5" s="60">
        <f t="shared" si="2"/>
        <v>0.6875</v>
      </c>
      <c r="H5" s="7" t="s">
        <v>16</v>
      </c>
    </row>
    <row r="6" spans="1:8" ht="18" customHeight="1" x14ac:dyDescent="0.2">
      <c r="A6" s="20" t="str">
        <f>OVERALL!A6</f>
        <v>ENGAGE</v>
      </c>
      <c r="B6" s="21">
        <f>IF(C11=0,"-",AVERAGE(B7:B10))</f>
        <v>8.3333333333333329E-2</v>
      </c>
      <c r="C6" s="61" t="s">
        <v>0</v>
      </c>
      <c r="D6" s="28">
        <f>IF(D11=0,"-",(COUNTIF(D7:D10, "y")/D11)*OVERALL!$C$6)</f>
        <v>0.05</v>
      </c>
      <c r="E6" s="28">
        <f>IF(E11=0,"-",(COUNTIF(E7:E10, "y")/E11)*OVERALL!$C$6)</f>
        <v>0</v>
      </c>
      <c r="F6" s="28">
        <f>IF(F11=0,"-",(COUNTIF(F7:F10, "y")/F11)*OVERALL!$C$6)</f>
        <v>0</v>
      </c>
    </row>
    <row r="7" spans="1:8" ht="18" customHeight="1" x14ac:dyDescent="0.2">
      <c r="A7" s="33" t="str">
        <f>OVERALL!A7</f>
        <v>WELCOME</v>
      </c>
      <c r="B7" s="3">
        <f>IF(C7=0,"-",COUNTIF(D7:F7,"y")/C7)</f>
        <v>0</v>
      </c>
      <c r="C7" s="26">
        <f>$C$2-COUNTIF(D7:F7, "-")</f>
        <v>3</v>
      </c>
      <c r="D7" s="306" t="s">
        <v>123</v>
      </c>
      <c r="E7" s="292" t="s">
        <v>123</v>
      </c>
      <c r="F7" s="302" t="s">
        <v>123</v>
      </c>
      <c r="H7" s="11" t="s">
        <v>2</v>
      </c>
    </row>
    <row r="8" spans="1:8" ht="18" customHeight="1" x14ac:dyDescent="0.25">
      <c r="A8" s="33" t="str">
        <f>OVERALL!A8</f>
        <v>INTENT</v>
      </c>
      <c r="B8" s="3">
        <f>IF(C8=0,"-",COUNTIF(D8:F8,"y")/C8)</f>
        <v>0.33333333333333331</v>
      </c>
      <c r="C8" s="26">
        <f>$C$2-COUNTIF(D8:F8, "-")</f>
        <v>3</v>
      </c>
      <c r="D8" s="306" t="s">
        <v>124</v>
      </c>
      <c r="E8" s="292" t="s">
        <v>123</v>
      </c>
      <c r="F8" s="302" t="s">
        <v>123</v>
      </c>
      <c r="H8" s="7" t="s">
        <v>15</v>
      </c>
    </row>
    <row r="9" spans="1:8" ht="18" customHeight="1" x14ac:dyDescent="0.2">
      <c r="A9" s="33" t="str">
        <f>OVERALL!A9</f>
        <v>NAME</v>
      </c>
      <c r="B9" s="3">
        <f>IF(C9=0,"-",COUNTIF(D9:F9,"y")/C9)</f>
        <v>0</v>
      </c>
      <c r="C9" s="26">
        <f>$C$2-COUNTIF(D9:F9, "-")</f>
        <v>3</v>
      </c>
      <c r="D9" s="306" t="s">
        <v>123</v>
      </c>
      <c r="E9" s="292" t="s">
        <v>123</v>
      </c>
      <c r="F9" s="302" t="s">
        <v>123</v>
      </c>
      <c r="H9" t="s">
        <v>1</v>
      </c>
    </row>
    <row r="10" spans="1:8" ht="18" customHeight="1" x14ac:dyDescent="0.2">
      <c r="A10" s="33" t="str">
        <f>OVERALL!A10</f>
        <v>BRIDGE</v>
      </c>
      <c r="B10" s="3">
        <f>IF(C10=0,"-",COUNTIF(D10:F10,"y")/C10)</f>
        <v>0</v>
      </c>
      <c r="C10" s="26">
        <f>$C$2-COUNTIF(D10:F10, "-")</f>
        <v>3</v>
      </c>
      <c r="D10" s="306" t="s">
        <v>123</v>
      </c>
      <c r="E10" s="292" t="s">
        <v>123</v>
      </c>
      <c r="F10" s="302"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0.66666666666666663</v>
      </c>
      <c r="C12" s="1" t="s">
        <v>1</v>
      </c>
      <c r="D12" s="28">
        <f>IF(D16=0,"-",(COUNTIF(D13:D15, "y")/D16)*OVERALL!$C$12)</f>
        <v>6.6666666666666666E-2</v>
      </c>
      <c r="E12" s="28">
        <f>IF(E16=0,"-",(COUNTIF(E13:E15, "y")/E16)*OVERALL!$C$12)</f>
        <v>0.13333333333333333</v>
      </c>
      <c r="F12" s="28">
        <f>IF(F16=0,"-",(COUNTIF(F13:F15, "y")/F16)*OVERALL!$C$12)</f>
        <v>0.2</v>
      </c>
      <c r="H12" t="s">
        <v>1</v>
      </c>
    </row>
    <row r="13" spans="1:8" ht="18" customHeight="1" x14ac:dyDescent="0.2">
      <c r="A13" s="33" t="str">
        <f>OVERALL!A13</f>
        <v>CONVERSE</v>
      </c>
      <c r="B13" s="3">
        <f>IF(C13=0,"-",COUNTIF(D13:F13,"y")/C13)</f>
        <v>0.33333333333333331</v>
      </c>
      <c r="C13" s="26">
        <f>$C$2-COUNTIF(D13:F13, "-")</f>
        <v>3</v>
      </c>
      <c r="D13" s="306" t="s">
        <v>123</v>
      </c>
      <c r="E13" s="292" t="s">
        <v>123</v>
      </c>
      <c r="F13" s="302" t="s">
        <v>124</v>
      </c>
      <c r="H13" s="14" t="s">
        <v>4</v>
      </c>
    </row>
    <row r="14" spans="1:8" ht="18" customHeight="1" x14ac:dyDescent="0.25">
      <c r="A14" s="33" t="str">
        <f>OVERALL!A14</f>
        <v>LISTEN</v>
      </c>
      <c r="B14" s="3">
        <f>IF(C14=0,"-",COUNTIF(D14:F14,"y")/C14)</f>
        <v>1</v>
      </c>
      <c r="C14" s="26">
        <f>$C$2-COUNTIF(D14:F14, "-")</f>
        <v>3</v>
      </c>
      <c r="D14" s="306" t="s">
        <v>124</v>
      </c>
      <c r="E14" s="292" t="s">
        <v>124</v>
      </c>
      <c r="F14" s="302" t="s">
        <v>124</v>
      </c>
      <c r="H14" s="9" t="s">
        <v>13</v>
      </c>
    </row>
    <row r="15" spans="1:8" ht="18" customHeight="1" x14ac:dyDescent="0.2">
      <c r="A15" s="33" t="str">
        <f>OVERALL!A15</f>
        <v>CONFIRM</v>
      </c>
      <c r="B15" s="3">
        <f>IF(C15=0,"-",COUNTIF(D15:F15,"y")/C15)</f>
        <v>0.66666666666666663</v>
      </c>
      <c r="C15" s="26">
        <f>$C$2-COUNTIF(D15:F15, "-")</f>
        <v>3</v>
      </c>
      <c r="D15" s="306" t="s">
        <v>123</v>
      </c>
      <c r="E15" s="292" t="s">
        <v>124</v>
      </c>
      <c r="F15" s="302"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306" t="s">
        <v>124</v>
      </c>
      <c r="E18" s="292" t="s">
        <v>123</v>
      </c>
      <c r="F18" s="302" t="s">
        <v>124</v>
      </c>
    </row>
    <row r="19" spans="1:11" ht="18" customHeight="1" x14ac:dyDescent="0.2">
      <c r="A19" s="33" t="str">
        <f>OVERALL!A19</f>
        <v>CHECK</v>
      </c>
      <c r="B19" s="3">
        <f>IF(C19=0,"-",COUNTIF(D19:F19,"y")/C19)</f>
        <v>0</v>
      </c>
      <c r="C19" s="26">
        <f>$C$2-COUNTIF(D19:F19, "-")</f>
        <v>3</v>
      </c>
      <c r="D19" s="306" t="s">
        <v>123</v>
      </c>
      <c r="E19" s="292" t="s">
        <v>123</v>
      </c>
      <c r="F19" s="302" t="s">
        <v>123</v>
      </c>
    </row>
    <row r="20" spans="1:11" ht="18" customHeight="1" x14ac:dyDescent="0.2">
      <c r="A20" s="33" t="str">
        <f>OVERALL!A20</f>
        <v>SEEK</v>
      </c>
      <c r="B20" s="3">
        <f>IF(C20=0,"-",COUNTIF(D20:F20,"y")/C20)</f>
        <v>1</v>
      </c>
      <c r="C20" s="26">
        <f>$C$2-COUNTIF(D20:F20, "-")</f>
        <v>3</v>
      </c>
      <c r="D20" s="306" t="s">
        <v>124</v>
      </c>
      <c r="E20" s="292" t="s">
        <v>124</v>
      </c>
      <c r="F20" s="302" t="s">
        <v>124</v>
      </c>
      <c r="H20" t="s">
        <v>1</v>
      </c>
    </row>
    <row r="21" spans="1:11" ht="18" customHeight="1" x14ac:dyDescent="0.2">
      <c r="A21" s="33" t="str">
        <f>OVERALL!A21</f>
        <v>CONFIDENCE</v>
      </c>
      <c r="B21" s="3">
        <f>IF(C21=0,"-",COUNTIF(D21:F21,"y")/C21)</f>
        <v>1</v>
      </c>
      <c r="C21" s="26">
        <f>$C$2-COUNTIF(D21:F21, "-")</f>
        <v>3</v>
      </c>
      <c r="D21" s="306" t="s">
        <v>124</v>
      </c>
      <c r="E21" s="292" t="s">
        <v>124</v>
      </c>
      <c r="F21" s="302"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306" t="s">
        <v>124</v>
      </c>
      <c r="E24" s="292" t="s">
        <v>123</v>
      </c>
      <c r="F24" s="302" t="s">
        <v>124</v>
      </c>
    </row>
    <row r="25" spans="1:11" ht="18" customHeight="1" x14ac:dyDescent="0.2">
      <c r="A25" s="33" t="str">
        <f>OVERALL!A25</f>
        <v>GRATITUDE</v>
      </c>
      <c r="B25" s="3">
        <f>IF(C25=0,"-",COUNTIF(D25:F25,"y")/C25)</f>
        <v>0</v>
      </c>
      <c r="C25" s="26">
        <f>$C$2-COUNTIF(D25:F25, "-")</f>
        <v>3</v>
      </c>
      <c r="D25" s="306" t="s">
        <v>123</v>
      </c>
      <c r="E25" s="292" t="s">
        <v>123</v>
      </c>
      <c r="F25" s="302" t="s">
        <v>123</v>
      </c>
    </row>
    <row r="26" spans="1:11" ht="18" customHeight="1" x14ac:dyDescent="0.2">
      <c r="A26" s="33" t="str">
        <f>OVERALL!A26</f>
        <v>THANKS</v>
      </c>
      <c r="B26" s="3">
        <f>IF(C26=0,"-",COUNTIF(D26:F26,"y")/C26)</f>
        <v>1</v>
      </c>
      <c r="C26" s="26">
        <f>$C$2-COUNTIF(D26:F26, "-")</f>
        <v>3</v>
      </c>
      <c r="D26" s="306" t="s">
        <v>124</v>
      </c>
      <c r="E26" s="292" t="s">
        <v>124</v>
      </c>
      <c r="F26" s="302"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306" t="s">
        <v>124</v>
      </c>
      <c r="E29" s="292" t="s">
        <v>124</v>
      </c>
      <c r="F29" s="302" t="s">
        <v>124</v>
      </c>
    </row>
    <row r="30" spans="1:11" ht="18" customHeight="1" x14ac:dyDescent="0.2">
      <c r="A30" s="33" t="str">
        <f>OVERALL!A30</f>
        <v>EMPATHY</v>
      </c>
      <c r="B30" s="3">
        <f>IF(C30=0,"-",COUNTIF(D30:F30,"y")/C30)</f>
        <v>1</v>
      </c>
      <c r="C30" s="26">
        <f>$C$2-COUNTIF(D30:F30, "-")</f>
        <v>3</v>
      </c>
      <c r="D30" s="306" t="s">
        <v>124</v>
      </c>
      <c r="E30" s="292" t="s">
        <v>124</v>
      </c>
      <c r="F30" s="302" t="s">
        <v>124</v>
      </c>
    </row>
    <row r="31" spans="1:11" ht="18" customHeight="1" x14ac:dyDescent="0.2">
      <c r="A31" s="33" t="str">
        <f>OVERALL!A31</f>
        <v>CONTROL</v>
      </c>
      <c r="B31" s="3">
        <f>IF(C31=0,"-",COUNTIF(D31:F31,"y")/C31)</f>
        <v>1</v>
      </c>
      <c r="C31" s="26">
        <f>$C$2-COUNTIF(D31:F31, "-")</f>
        <v>3</v>
      </c>
      <c r="D31" s="306" t="s">
        <v>124</v>
      </c>
      <c r="E31" s="292" t="s">
        <v>124</v>
      </c>
      <c r="F31" s="302" t="s">
        <v>124</v>
      </c>
    </row>
    <row r="32" spans="1:11" ht="18" customHeight="1" x14ac:dyDescent="0.2">
      <c r="A32" s="33" t="str">
        <f>OVERALL!A32</f>
        <v>CLARITY</v>
      </c>
      <c r="B32" s="3">
        <f>IF(C32=0,"-",COUNTIF(D32:F32,"y")/C32)</f>
        <v>1</v>
      </c>
      <c r="C32" s="26">
        <f>$C$2-COUNTIF(D32:F32, "-")</f>
        <v>3</v>
      </c>
      <c r="D32" s="306" t="s">
        <v>124</v>
      </c>
      <c r="E32" s="292" t="s">
        <v>124</v>
      </c>
      <c r="F32" s="302"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306" t="s">
        <v>123</v>
      </c>
      <c r="E35" s="292" t="s">
        <v>123</v>
      </c>
      <c r="F35" s="302" t="s">
        <v>123</v>
      </c>
      <c r="H35" s="48">
        <v>-0.3</v>
      </c>
      <c r="J35" s="48"/>
      <c r="K35" s="48"/>
      <c r="L35" s="48"/>
    </row>
    <row r="36" spans="1:13" ht="18" customHeight="1" x14ac:dyDescent="0.2">
      <c r="A36" s="45" t="str">
        <f>OVERALL!A36</f>
        <v>AUDIO ISSUE (DISTRACTION)</v>
      </c>
      <c r="B36" s="3">
        <f>IF(C36=0,"-",COUNTIF(D36:F36,"y")/C36)</f>
        <v>0</v>
      </c>
      <c r="C36" s="26">
        <f>$C$2-COUNTIF(D36:F36, "-")</f>
        <v>3</v>
      </c>
      <c r="D36" s="306" t="s">
        <v>123</v>
      </c>
      <c r="E36" s="292" t="s">
        <v>123</v>
      </c>
      <c r="F36" s="302"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50" t="str">
        <f>OVERALL!A38</f>
        <v>ADDITIONAL INSIGHT</v>
      </c>
      <c r="B38" s="351"/>
      <c r="C38" s="10" t="s">
        <v>1</v>
      </c>
      <c r="D38" s="30"/>
      <c r="E38" s="30"/>
      <c r="F38" s="30"/>
    </row>
    <row r="39" spans="1:13" ht="18" customHeight="1" x14ac:dyDescent="0.2">
      <c r="A39" s="33" t="str">
        <f>OVERALL!A39</f>
        <v>CALL ANSWERED-QUALITY</v>
      </c>
      <c r="B39" s="3">
        <f>IF(C39=0,"-",COUNTIF(D39:F39, "y")/C39)</f>
        <v>1</v>
      </c>
      <c r="C39" s="26">
        <f t="shared" ref="C39:C45" si="9">$C$2-COUNTIF(D39:F39, "-")</f>
        <v>3</v>
      </c>
      <c r="D39" s="306" t="s">
        <v>124</v>
      </c>
      <c r="E39" s="292" t="s">
        <v>124</v>
      </c>
      <c r="F39" s="302" t="s">
        <v>124</v>
      </c>
    </row>
    <row r="40" spans="1:13" ht="18" customHeight="1" x14ac:dyDescent="0.2">
      <c r="A40" s="33" t="str">
        <f>OVERALL!A40</f>
        <v>TALK TIME</v>
      </c>
      <c r="B40" s="280">
        <f>IF(C40=0,"-",AVERAGE(D40:F40))</f>
        <v>1.9058641975308644E-3</v>
      </c>
      <c r="C40" s="26">
        <f t="shared" si="9"/>
        <v>3</v>
      </c>
      <c r="D40" s="280">
        <v>2.4074074074074076E-3</v>
      </c>
      <c r="E40" s="280">
        <v>1.1921296296296296E-3</v>
      </c>
      <c r="F40" s="280">
        <v>2.1180555555555558E-3</v>
      </c>
      <c r="G40" s="46"/>
      <c r="H40" s="265"/>
      <c r="I40" s="265"/>
      <c r="J40" s="265"/>
      <c r="K40" s="265"/>
      <c r="L40" s="265"/>
      <c r="M40" s="265"/>
    </row>
    <row r="41" spans="1:13" ht="18" customHeight="1" x14ac:dyDescent="0.2">
      <c r="A41" s="33" t="str">
        <f>OVERALL!A41</f>
        <v>ASSESSOR RATING (0-10)</v>
      </c>
      <c r="B41" s="263">
        <f>IF(C41=0,"-",SUM(D41:F41)/C41)</f>
        <v>5.666666666666667</v>
      </c>
      <c r="C41" s="26">
        <f t="shared" si="9"/>
        <v>3</v>
      </c>
      <c r="D41" s="285">
        <v>6</v>
      </c>
      <c r="E41" s="285">
        <v>5</v>
      </c>
      <c r="F41" s="285">
        <v>6</v>
      </c>
    </row>
    <row r="42" spans="1:13" ht="18" customHeight="1" x14ac:dyDescent="0.2">
      <c r="A42" s="33" t="str">
        <f>OVERALL!A42</f>
        <v>EXPLAINED KEY FEATURES</v>
      </c>
      <c r="B42" s="3">
        <f>IF(C42=0,"-",COUNTIF(D42:F42, "y")/C42)</f>
        <v>0.66666666666666663</v>
      </c>
      <c r="C42" s="26">
        <f t="shared" si="9"/>
        <v>3</v>
      </c>
      <c r="D42" s="306" t="s">
        <v>124</v>
      </c>
      <c r="E42" s="292" t="s">
        <v>123</v>
      </c>
      <c r="F42" s="302" t="s">
        <v>124</v>
      </c>
      <c r="G42" s="47"/>
      <c r="H42" t="s">
        <v>1</v>
      </c>
    </row>
    <row r="43" spans="1:13" ht="18" customHeight="1" x14ac:dyDescent="0.2">
      <c r="A43" s="33" t="str">
        <f>OVERALL!A43</f>
        <v>REVEALED PRICING</v>
      </c>
      <c r="B43" s="3">
        <f>IF(C43=0,"-",COUNTIF(D43:F43, "y")/C43)</f>
        <v>0.66666666666666663</v>
      </c>
      <c r="C43" s="26">
        <f t="shared" si="9"/>
        <v>3</v>
      </c>
      <c r="D43" s="306" t="s">
        <v>124</v>
      </c>
      <c r="E43" s="292" t="s">
        <v>123</v>
      </c>
      <c r="F43" s="302" t="s">
        <v>124</v>
      </c>
    </row>
    <row r="44" spans="1:13" ht="18" customHeight="1" x14ac:dyDescent="0.2">
      <c r="A44" s="33" t="str">
        <f>OVERALL!A44</f>
        <v>EXPLAINED ACTIONS &amp; PROCESS</v>
      </c>
      <c r="B44" s="3">
        <f>IF(C44=0,"-",COUNTIF(D44:F44, "y")/C44)</f>
        <v>0.66666666666666663</v>
      </c>
      <c r="C44" s="26">
        <f t="shared" si="9"/>
        <v>3</v>
      </c>
      <c r="D44" s="306" t="s">
        <v>124</v>
      </c>
      <c r="E44" s="292" t="s">
        <v>123</v>
      </c>
      <c r="F44" s="302" t="s">
        <v>124</v>
      </c>
    </row>
    <row r="45" spans="1:13" ht="18" customHeight="1" x14ac:dyDescent="0.2">
      <c r="A45" s="33" t="str">
        <f>OVERALL!A45</f>
        <v>WEBSITE EDUCATION</v>
      </c>
      <c r="B45" s="3">
        <f>IF(C45=0,"-",COUNTIF(D45:F45, "y")/C45)</f>
        <v>1</v>
      </c>
      <c r="C45" s="26">
        <f t="shared" si="9"/>
        <v>3</v>
      </c>
      <c r="D45" s="306" t="s">
        <v>124</v>
      </c>
      <c r="E45" s="292" t="s">
        <v>124</v>
      </c>
      <c r="F45" s="302" t="s">
        <v>124</v>
      </c>
    </row>
    <row r="46" spans="1:13" ht="18" customHeight="1" x14ac:dyDescent="0.2">
      <c r="A46" s="18"/>
      <c r="B46" s="3"/>
      <c r="C46" s="26"/>
      <c r="D46" s="263"/>
      <c r="E46" s="263"/>
      <c r="F46" s="263"/>
    </row>
    <row r="47" spans="1:13" ht="90" x14ac:dyDescent="0.2">
      <c r="A47" s="25" t="s">
        <v>1</v>
      </c>
      <c r="B47" s="352" t="s">
        <v>35</v>
      </c>
      <c r="C47" s="353"/>
      <c r="D47" s="23" t="s">
        <v>160</v>
      </c>
      <c r="E47" s="23" t="s">
        <v>132</v>
      </c>
      <c r="F47" s="23" t="s">
        <v>146</v>
      </c>
    </row>
    <row r="48" spans="1:13" ht="18" customHeight="1" x14ac:dyDescent="0.2">
      <c r="A48" s="59" t="s">
        <v>47</v>
      </c>
      <c r="D48" s="50">
        <f t="shared" ref="D48:F48" si="10">IF(D$2="","",IF(D$39="n", "", SUM(D$6,D$12,D$17,D$23,D$28,D$34)))</f>
        <v>0.60416666666666674</v>
      </c>
      <c r="E48" s="50">
        <f t="shared" si="10"/>
        <v>0.5083333333333333</v>
      </c>
      <c r="F48" s="50">
        <f t="shared" si="10"/>
        <v>0.6875</v>
      </c>
    </row>
    <row r="50" spans="1:6" ht="19" x14ac:dyDescent="0.25">
      <c r="A50" s="110" t="s">
        <v>74</v>
      </c>
      <c r="B50" s="90" t="s">
        <v>75</v>
      </c>
    </row>
    <row r="51" spans="1:6" x14ac:dyDescent="0.2">
      <c r="A51" s="111" t="s">
        <v>63</v>
      </c>
      <c r="B51" s="112">
        <v>0.3</v>
      </c>
      <c r="C51" s="111"/>
      <c r="D51" s="256">
        <f>[1]ONKAPARINGA!D$4</f>
        <v>0.75624999999999998</v>
      </c>
      <c r="E51" s="256">
        <f>[1]ONKAPARINGA!E$4</f>
        <v>0.75624999999999998</v>
      </c>
      <c r="F51" s="256">
        <f>[1]ONKAPARINGA!F$4</f>
        <v>0.75624999999999998</v>
      </c>
    </row>
    <row r="52" spans="1:6" x14ac:dyDescent="0.2">
      <c r="A52" s="111" t="s">
        <v>64</v>
      </c>
      <c r="B52" s="112">
        <v>0.7</v>
      </c>
      <c r="C52" s="111"/>
      <c r="D52" s="257">
        <f t="shared" ref="D52:F52" si="11">D4</f>
        <v>0.60416666666666674</v>
      </c>
      <c r="E52" s="257">
        <f t="shared" si="11"/>
        <v>0.5083333333333333</v>
      </c>
      <c r="F52" s="257">
        <f t="shared" si="11"/>
        <v>0.6875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0.22687499999999999</v>
      </c>
      <c r="E55" s="257">
        <f t="shared" ref="E55:F55" si="12">IF(E51="-","-",E51*$B$51)</f>
        <v>0.22687499999999999</v>
      </c>
      <c r="F55" s="257">
        <f t="shared" si="12"/>
        <v>0.22687499999999999</v>
      </c>
    </row>
    <row r="56" spans="1:6" x14ac:dyDescent="0.2">
      <c r="A56" s="111" t="s">
        <v>64</v>
      </c>
      <c r="B56" s="111"/>
      <c r="C56" s="111"/>
      <c r="D56" s="257">
        <f t="shared" ref="D56:F56" si="13">IF(D52="-","-",D52*$B$52)</f>
        <v>0.42291666666666672</v>
      </c>
      <c r="E56" s="257">
        <f t="shared" si="13"/>
        <v>0.35583333333333328</v>
      </c>
      <c r="F56" s="257">
        <f t="shared" si="13"/>
        <v>0.48124999999999996</v>
      </c>
    </row>
    <row r="57" spans="1:6" x14ac:dyDescent="0.2">
      <c r="A57" s="114" t="s">
        <v>59</v>
      </c>
      <c r="B57" s="114"/>
      <c r="C57" s="114"/>
      <c r="D57" s="115">
        <f t="shared" ref="D57:F57" si="14">IF(D51="","",IF(D52="","",SUM(D55:D56)))</f>
        <v>0.64979166666666677</v>
      </c>
      <c r="E57" s="115">
        <f t="shared" si="14"/>
        <v>0.58270833333333327</v>
      </c>
      <c r="F57" s="115">
        <f t="shared" si="14"/>
        <v>0.70812499999999989</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BRISBANE</vt:lpstr>
      <vt:lpstr>CASEY</vt:lpstr>
      <vt:lpstr>FRANKSTON</vt:lpstr>
      <vt:lpstr>LAUNCESTON</vt:lpstr>
      <vt:lpstr>MONASH</vt:lpstr>
      <vt:lpstr>ONKAPARINGA</vt:lpstr>
      <vt:lpstr>STIRLING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2026-05-18T01:25:00Z</dcterms:modified>
</cp:coreProperties>
</file>