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BANKS/QUALITY/"/>
    </mc:Choice>
  </mc:AlternateContent>
  <xr:revisionPtr revIDLastSave="0" documentId="13_ncr:1_{A38CA64F-EF81-4E40-A047-C9F7B47D85C1}" xr6:coauthVersionLast="47" xr6:coauthVersionMax="47" xr10:uidLastSave="{00000000-0000-0000-0000-000000000000}"/>
  <bookViews>
    <workbookView xWindow="3920" yWindow="500" windowWidth="23260" windowHeight="13900" tabRatio="704" activeTab="2" xr2:uid="{00000000-000D-0000-FFFF-FFFF00000000}"/>
  </bookViews>
  <sheets>
    <sheet name="REPORT" sheetId="20" r:id="rId1"/>
    <sheet name="LOAD_SHEET" sheetId="30" r:id="rId2"/>
    <sheet name="OVERALL" sheetId="9" r:id="rId3"/>
    <sheet name="ANZ" sheetId="21" r:id="rId4"/>
    <sheet name="BANK_AUSTRALIA" sheetId="11" r:id="rId5"/>
    <sheet name="BENDIGO" sheetId="22" r:id="rId6"/>
    <sheet name="CBA" sheetId="23" r:id="rId7"/>
    <sheet name="GREAT_SOUTHERN" sheetId="24" r:id="rId8"/>
    <sheet name="HUME" sheetId="25" r:id="rId9"/>
    <sheet name="ING" sheetId="26" r:id="rId10"/>
    <sheet name="nab" sheetId="27" r:id="rId11"/>
    <sheet name="Westpac" sheetId="28" r:id="rId12"/>
  </sheets>
  <externalReferences>
    <externalReference r:id="rId1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28" l="1"/>
  <c r="F51" i="28"/>
  <c r="G51" i="28"/>
  <c r="H51" i="28"/>
  <c r="I51" i="28"/>
  <c r="D51" i="28"/>
  <c r="B3" i="28"/>
  <c r="B3" i="27"/>
  <c r="E51" i="27"/>
  <c r="F51" i="27"/>
  <c r="G51" i="27"/>
  <c r="H51" i="27"/>
  <c r="I51" i="27"/>
  <c r="D51" i="27"/>
  <c r="E51" i="26"/>
  <c r="F51" i="26"/>
  <c r="G51" i="26"/>
  <c r="H51" i="26"/>
  <c r="I51" i="26"/>
  <c r="D51" i="26"/>
  <c r="B3" i="21"/>
  <c r="B3" i="11"/>
  <c r="B3" i="22"/>
  <c r="B3" i="23"/>
  <c r="B3" i="24"/>
  <c r="B3" i="26"/>
  <c r="B3" i="25"/>
  <c r="E51" i="25"/>
  <c r="F51" i="25"/>
  <c r="G51" i="25"/>
  <c r="H51" i="25"/>
  <c r="I51" i="25"/>
  <c r="D51" i="25"/>
  <c r="E51" i="24"/>
  <c r="F51" i="24"/>
  <c r="G51" i="24"/>
  <c r="H51" i="24"/>
  <c r="I51" i="24"/>
  <c r="D51" i="24"/>
  <c r="E51" i="23"/>
  <c r="F51" i="23"/>
  <c r="G51" i="23"/>
  <c r="H51" i="23"/>
  <c r="I51" i="23"/>
  <c r="D51" i="23"/>
  <c r="E51" i="22"/>
  <c r="F51" i="22"/>
  <c r="G51" i="22"/>
  <c r="H51" i="22"/>
  <c r="I51" i="22"/>
  <c r="D51" i="22"/>
  <c r="E51" i="11"/>
  <c r="F51" i="11"/>
  <c r="G51" i="11"/>
  <c r="H51" i="11"/>
  <c r="D51" i="11"/>
  <c r="E51" i="21"/>
  <c r="F51" i="21"/>
  <c r="G51" i="21"/>
  <c r="H51" i="21"/>
  <c r="I51" i="21"/>
  <c r="D51" i="21"/>
  <c r="E69" i="9"/>
  <c r="F69" i="9"/>
  <c r="G69" i="9"/>
  <c r="H69" i="9"/>
  <c r="I69" i="9"/>
  <c r="J69" i="9"/>
  <c r="K69" i="9"/>
  <c r="L69" i="9"/>
  <c r="D69" i="9"/>
  <c r="B69" i="9"/>
  <c r="E51" i="9"/>
  <c r="F51" i="9"/>
  <c r="G51" i="9"/>
  <c r="H51" i="9"/>
  <c r="I51" i="9"/>
  <c r="J51" i="9"/>
  <c r="K51" i="9"/>
  <c r="L51" i="9"/>
  <c r="D51" i="9"/>
  <c r="E55" i="25" l="1"/>
  <c r="F55" i="25"/>
  <c r="G55" i="25"/>
  <c r="H55" i="25"/>
  <c r="I55" i="25"/>
  <c r="D55" i="25"/>
  <c r="E55" i="24"/>
  <c r="F55" i="24"/>
  <c r="G55" i="24"/>
  <c r="H55" i="24"/>
  <c r="I55" i="24"/>
  <c r="D55" i="24"/>
  <c r="E55" i="11"/>
  <c r="F55" i="11"/>
  <c r="G55" i="11"/>
  <c r="H55" i="11"/>
  <c r="D55" i="11"/>
  <c r="E55" i="28"/>
  <c r="F55" i="28"/>
  <c r="G55" i="28"/>
  <c r="H55" i="28"/>
  <c r="I55" i="28"/>
  <c r="D55" i="28"/>
  <c r="E55" i="27"/>
  <c r="F55" i="27"/>
  <c r="G55" i="27"/>
  <c r="H55" i="27"/>
  <c r="I55" i="27"/>
  <c r="D55" i="27"/>
  <c r="E55" i="26"/>
  <c r="F55" i="26"/>
  <c r="G55" i="26"/>
  <c r="H55" i="26"/>
  <c r="I55" i="26"/>
  <c r="D55" i="26"/>
  <c r="E55" i="23"/>
  <c r="F55" i="23"/>
  <c r="G55" i="23"/>
  <c r="H55" i="23"/>
  <c r="I55" i="23"/>
  <c r="D55" i="23"/>
  <c r="E55" i="22"/>
  <c r="F55" i="22"/>
  <c r="G55" i="22"/>
  <c r="H55" i="22"/>
  <c r="I55" i="22"/>
  <c r="D55" i="22"/>
  <c r="E55" i="21"/>
  <c r="F55" i="21"/>
  <c r="G55" i="21"/>
  <c r="H55" i="21"/>
  <c r="I55" i="21"/>
  <c r="D55" i="21"/>
  <c r="A32" i="30" l="1"/>
  <c r="A33" i="30"/>
  <c r="A34" i="30"/>
  <c r="A35" i="30"/>
  <c r="A36" i="30"/>
  <c r="A37" i="30"/>
  <c r="A38" i="30"/>
  <c r="A39" i="30"/>
  <c r="A40" i="30"/>
  <c r="A41" i="30"/>
  <c r="A42" i="30"/>
  <c r="A43" i="30"/>
  <c r="A44" i="30"/>
  <c r="A45" i="30"/>
  <c r="A46" i="30"/>
  <c r="A47" i="30"/>
  <c r="A48" i="30"/>
  <c r="A49" i="30"/>
  <c r="A50" i="30"/>
  <c r="A3" i="25" l="1"/>
  <c r="A3" i="24"/>
  <c r="A3" i="11"/>
  <c r="A3" i="28"/>
  <c r="A3" i="27"/>
  <c r="A3" i="26"/>
  <c r="A3" i="23"/>
  <c r="A3" i="22"/>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L2" i="9"/>
  <c r="K2" i="9"/>
  <c r="F2" i="9"/>
  <c r="E2" i="9"/>
  <c r="J2" i="9"/>
  <c r="D2" i="9"/>
  <c r="I47" i="9"/>
  <c r="H47" i="9"/>
  <c r="G47" i="9"/>
  <c r="L47" i="9"/>
  <c r="K47" i="9"/>
  <c r="F47" i="9"/>
  <c r="E47" i="9"/>
  <c r="J47" i="9"/>
  <c r="I55" i="9"/>
  <c r="E55" i="9"/>
  <c r="A38" i="28"/>
  <c r="I37" i="28"/>
  <c r="I34" i="28" s="1"/>
  <c r="H37" i="28"/>
  <c r="H34" i="28" s="1"/>
  <c r="G37" i="28"/>
  <c r="G34" i="28" s="1"/>
  <c r="F37" i="28"/>
  <c r="F34" i="28" s="1"/>
  <c r="E37" i="28"/>
  <c r="E34" i="28" s="1"/>
  <c r="D37" i="28"/>
  <c r="D34" i="28" s="1"/>
  <c r="A34" i="28"/>
  <c r="I33" i="28"/>
  <c r="H33" i="28"/>
  <c r="G33" i="28"/>
  <c r="F33" i="28"/>
  <c r="E33" i="28"/>
  <c r="D33" i="28"/>
  <c r="A28" i="28"/>
  <c r="I27" i="28"/>
  <c r="H27" i="28"/>
  <c r="G27" i="28"/>
  <c r="F27" i="28"/>
  <c r="E27" i="28"/>
  <c r="D27" i="28"/>
  <c r="A23" i="28"/>
  <c r="I22" i="28"/>
  <c r="H22" i="28"/>
  <c r="G22" i="28"/>
  <c r="F22" i="28"/>
  <c r="E22" i="28"/>
  <c r="D22" i="28"/>
  <c r="A17" i="28"/>
  <c r="I16" i="28"/>
  <c r="H16" i="28"/>
  <c r="G16" i="28"/>
  <c r="F16" i="28"/>
  <c r="E16" i="28"/>
  <c r="D16" i="28"/>
  <c r="A12" i="28"/>
  <c r="I11" i="28"/>
  <c r="H11" i="28"/>
  <c r="G11" i="28"/>
  <c r="F11" i="28"/>
  <c r="E11" i="28"/>
  <c r="D11" i="28"/>
  <c r="A6" i="28"/>
  <c r="A4" i="28"/>
  <c r="C2" i="28"/>
  <c r="C45" i="28" s="1"/>
  <c r="B45" i="28" s="1"/>
  <c r="A38" i="27"/>
  <c r="I37" i="27"/>
  <c r="I34" i="27" s="1"/>
  <c r="H37" i="27"/>
  <c r="H34" i="27" s="1"/>
  <c r="G37" i="27"/>
  <c r="G34" i="27" s="1"/>
  <c r="F37" i="27"/>
  <c r="F34" i="27" s="1"/>
  <c r="E37" i="27"/>
  <c r="E34" i="27" s="1"/>
  <c r="D37" i="27"/>
  <c r="D34" i="27" s="1"/>
  <c r="A34" i="27"/>
  <c r="I33" i="27"/>
  <c r="H33" i="27"/>
  <c r="G33" i="27"/>
  <c r="F33" i="27"/>
  <c r="E33" i="27"/>
  <c r="D33" i="27"/>
  <c r="A28" i="27"/>
  <c r="I27" i="27"/>
  <c r="H27" i="27"/>
  <c r="G27" i="27"/>
  <c r="F27" i="27"/>
  <c r="E27" i="27"/>
  <c r="D27" i="27"/>
  <c r="A23" i="27"/>
  <c r="I22" i="27"/>
  <c r="H22" i="27"/>
  <c r="G22" i="27"/>
  <c r="F22" i="27"/>
  <c r="E22" i="27"/>
  <c r="D22" i="27"/>
  <c r="A17" i="27"/>
  <c r="I16" i="27"/>
  <c r="H16" i="27"/>
  <c r="G16" i="27"/>
  <c r="F16" i="27"/>
  <c r="E16" i="27"/>
  <c r="D16" i="27"/>
  <c r="A12" i="27"/>
  <c r="I11" i="27"/>
  <c r="H11" i="27"/>
  <c r="G11" i="27"/>
  <c r="F11" i="27"/>
  <c r="E11" i="27"/>
  <c r="D11" i="27"/>
  <c r="A6" i="27"/>
  <c r="A4" i="27"/>
  <c r="C2" i="27"/>
  <c r="C45" i="27" s="1"/>
  <c r="B45" i="27" s="1"/>
  <c r="A38" i="26"/>
  <c r="I37" i="26"/>
  <c r="I34" i="26" s="1"/>
  <c r="H37" i="26"/>
  <c r="H34" i="26" s="1"/>
  <c r="G37" i="26"/>
  <c r="G34" i="26" s="1"/>
  <c r="F37" i="26"/>
  <c r="F34" i="26" s="1"/>
  <c r="E37" i="26"/>
  <c r="E34" i="26" s="1"/>
  <c r="D37" i="26"/>
  <c r="D34" i="26" s="1"/>
  <c r="A34" i="26"/>
  <c r="I33" i="26"/>
  <c r="H33" i="26"/>
  <c r="G33" i="26"/>
  <c r="G28" i="26" s="1"/>
  <c r="F33" i="26"/>
  <c r="E33" i="26"/>
  <c r="D33" i="26"/>
  <c r="A28" i="26"/>
  <c r="I27" i="26"/>
  <c r="H27" i="26"/>
  <c r="G27" i="26"/>
  <c r="G23" i="26" s="1"/>
  <c r="F27" i="26"/>
  <c r="E27" i="26"/>
  <c r="D27" i="26"/>
  <c r="A23" i="26"/>
  <c r="I22" i="26"/>
  <c r="H22" i="26"/>
  <c r="G22" i="26"/>
  <c r="G17" i="26" s="1"/>
  <c r="F22" i="26"/>
  <c r="E22" i="26"/>
  <c r="D22" i="26"/>
  <c r="A17" i="26"/>
  <c r="I16" i="26"/>
  <c r="H16" i="26"/>
  <c r="G16" i="26"/>
  <c r="G12" i="26" s="1"/>
  <c r="F16" i="26"/>
  <c r="E16" i="26"/>
  <c r="D16" i="26"/>
  <c r="A12" i="26"/>
  <c r="I11" i="26"/>
  <c r="H11" i="26"/>
  <c r="G11" i="26"/>
  <c r="G6" i="26" s="1"/>
  <c r="F11" i="26"/>
  <c r="E11" i="26"/>
  <c r="D11" i="26"/>
  <c r="A6" i="26"/>
  <c r="A4" i="26"/>
  <c r="C2" i="26"/>
  <c r="C45" i="26" s="1"/>
  <c r="B45" i="26" s="1"/>
  <c r="A38" i="25"/>
  <c r="I37" i="25"/>
  <c r="I34" i="25" s="1"/>
  <c r="H37" i="25"/>
  <c r="H34" i="25" s="1"/>
  <c r="G37" i="25"/>
  <c r="G34" i="25" s="1"/>
  <c r="F37" i="25"/>
  <c r="F34" i="25" s="1"/>
  <c r="E37" i="25"/>
  <c r="E34" i="25" s="1"/>
  <c r="D37" i="25"/>
  <c r="D34" i="25" s="1"/>
  <c r="A34" i="25"/>
  <c r="I33" i="25"/>
  <c r="H33" i="25"/>
  <c r="G33" i="25"/>
  <c r="F33" i="25"/>
  <c r="E33" i="25"/>
  <c r="D33" i="25"/>
  <c r="A28" i="25"/>
  <c r="I27" i="25"/>
  <c r="H27" i="25"/>
  <c r="G27" i="25"/>
  <c r="F27" i="25"/>
  <c r="E27" i="25"/>
  <c r="D27" i="25"/>
  <c r="A23" i="25"/>
  <c r="I22" i="25"/>
  <c r="H22" i="25"/>
  <c r="G22" i="25"/>
  <c r="F22" i="25"/>
  <c r="E22" i="25"/>
  <c r="D22" i="25"/>
  <c r="A17" i="25"/>
  <c r="I16" i="25"/>
  <c r="H16" i="25"/>
  <c r="G16" i="25"/>
  <c r="F16" i="25"/>
  <c r="E16" i="25"/>
  <c r="D16" i="25"/>
  <c r="A12" i="25"/>
  <c r="I11" i="25"/>
  <c r="H11" i="25"/>
  <c r="G11" i="25"/>
  <c r="F11" i="25"/>
  <c r="E11" i="25"/>
  <c r="D11" i="25"/>
  <c r="A6" i="25"/>
  <c r="A4" i="25"/>
  <c r="C2" i="25"/>
  <c r="C45" i="25" s="1"/>
  <c r="B45" i="25" s="1"/>
  <c r="A38" i="24"/>
  <c r="I37" i="24"/>
  <c r="I34" i="24" s="1"/>
  <c r="H37" i="24"/>
  <c r="H34" i="24" s="1"/>
  <c r="G37" i="24"/>
  <c r="G34" i="24" s="1"/>
  <c r="F37" i="24"/>
  <c r="F34" i="24" s="1"/>
  <c r="E37" i="24"/>
  <c r="E34" i="24" s="1"/>
  <c r="D37" i="24"/>
  <c r="D34" i="24" s="1"/>
  <c r="A34" i="24"/>
  <c r="I33" i="24"/>
  <c r="H33" i="24"/>
  <c r="G33" i="24"/>
  <c r="F33" i="24"/>
  <c r="E33" i="24"/>
  <c r="D33" i="24"/>
  <c r="A28" i="24"/>
  <c r="I27" i="24"/>
  <c r="H27" i="24"/>
  <c r="G27" i="24"/>
  <c r="F27" i="24"/>
  <c r="E27" i="24"/>
  <c r="D27" i="24"/>
  <c r="A23" i="24"/>
  <c r="I22" i="24"/>
  <c r="H22" i="24"/>
  <c r="G22" i="24"/>
  <c r="F22" i="24"/>
  <c r="E22" i="24"/>
  <c r="D22" i="24"/>
  <c r="A17" i="24"/>
  <c r="I16" i="24"/>
  <c r="H16" i="24"/>
  <c r="G16" i="24"/>
  <c r="F16" i="24"/>
  <c r="E16" i="24"/>
  <c r="D16" i="24"/>
  <c r="A12" i="24"/>
  <c r="I11" i="24"/>
  <c r="H11" i="24"/>
  <c r="G11" i="24"/>
  <c r="F11" i="24"/>
  <c r="E11" i="24"/>
  <c r="D11" i="24"/>
  <c r="A6" i="24"/>
  <c r="A4" i="24"/>
  <c r="C2" i="24"/>
  <c r="C45" i="24" s="1"/>
  <c r="B45" i="24" s="1"/>
  <c r="A38" i="23"/>
  <c r="I37" i="23"/>
  <c r="I34" i="23" s="1"/>
  <c r="H37" i="23"/>
  <c r="H34" i="23" s="1"/>
  <c r="G37" i="23"/>
  <c r="G34" i="23" s="1"/>
  <c r="F37" i="23"/>
  <c r="F34" i="23" s="1"/>
  <c r="E37" i="23"/>
  <c r="E34" i="23" s="1"/>
  <c r="D37" i="23"/>
  <c r="D34" i="23" s="1"/>
  <c r="A34" i="23"/>
  <c r="I33" i="23"/>
  <c r="I28" i="23" s="1"/>
  <c r="H33" i="23"/>
  <c r="G33" i="23"/>
  <c r="F33" i="23"/>
  <c r="E33" i="23"/>
  <c r="D33" i="23"/>
  <c r="A28" i="23"/>
  <c r="I27" i="23"/>
  <c r="H27" i="23"/>
  <c r="G27" i="23"/>
  <c r="F27" i="23"/>
  <c r="E27" i="23"/>
  <c r="D27" i="23"/>
  <c r="A23" i="23"/>
  <c r="I22" i="23"/>
  <c r="H22" i="23"/>
  <c r="G22" i="23"/>
  <c r="F22" i="23"/>
  <c r="E22" i="23"/>
  <c r="D22" i="23"/>
  <c r="A17" i="23"/>
  <c r="I16" i="23"/>
  <c r="H16" i="23"/>
  <c r="G16" i="23"/>
  <c r="F16" i="23"/>
  <c r="E16" i="23"/>
  <c r="D16" i="23"/>
  <c r="A12" i="23"/>
  <c r="I11" i="23"/>
  <c r="H11" i="23"/>
  <c r="G11" i="23"/>
  <c r="F11" i="23"/>
  <c r="E11" i="23"/>
  <c r="D11" i="23"/>
  <c r="A6" i="23"/>
  <c r="A4" i="23"/>
  <c r="C2" i="23"/>
  <c r="C45" i="23" s="1"/>
  <c r="B45" i="23" s="1"/>
  <c r="A38" i="22"/>
  <c r="I37" i="22"/>
  <c r="I34" i="22" s="1"/>
  <c r="H37" i="22"/>
  <c r="H34" i="22" s="1"/>
  <c r="G37" i="22"/>
  <c r="G34" i="22" s="1"/>
  <c r="F37" i="22"/>
  <c r="F34" i="22" s="1"/>
  <c r="E37" i="22"/>
  <c r="E34" i="22" s="1"/>
  <c r="D37" i="22"/>
  <c r="D34" i="22" s="1"/>
  <c r="A34" i="22"/>
  <c r="I33" i="22"/>
  <c r="H33" i="22"/>
  <c r="G33" i="22"/>
  <c r="F33" i="22"/>
  <c r="E33" i="22"/>
  <c r="D33" i="22"/>
  <c r="A28" i="22"/>
  <c r="I27" i="22"/>
  <c r="H27" i="22"/>
  <c r="G27" i="22"/>
  <c r="F27" i="22"/>
  <c r="E27" i="22"/>
  <c r="D27" i="22"/>
  <c r="A23" i="22"/>
  <c r="I22" i="22"/>
  <c r="H22" i="22"/>
  <c r="G22" i="22"/>
  <c r="F22" i="22"/>
  <c r="E22" i="22"/>
  <c r="D22" i="22"/>
  <c r="A17" i="22"/>
  <c r="I16" i="22"/>
  <c r="H16" i="22"/>
  <c r="G16" i="22"/>
  <c r="F16" i="22"/>
  <c r="E16" i="22"/>
  <c r="D16" i="22"/>
  <c r="A12" i="22"/>
  <c r="I11" i="22"/>
  <c r="H11" i="22"/>
  <c r="G11" i="22"/>
  <c r="F11" i="22"/>
  <c r="E11" i="22"/>
  <c r="D11" i="22"/>
  <c r="A6" i="22"/>
  <c r="A4" i="22"/>
  <c r="C2" i="22"/>
  <c r="C45" i="22" s="1"/>
  <c r="B45" i="22" s="1"/>
  <c r="A38" i="21"/>
  <c r="I37" i="21"/>
  <c r="I34" i="21" s="1"/>
  <c r="H37" i="21"/>
  <c r="H34" i="21" s="1"/>
  <c r="G37" i="21"/>
  <c r="G34" i="21" s="1"/>
  <c r="F37" i="21"/>
  <c r="F34" i="21" s="1"/>
  <c r="E37" i="21"/>
  <c r="E34" i="21" s="1"/>
  <c r="D37" i="21"/>
  <c r="D34" i="21" s="1"/>
  <c r="A34" i="21"/>
  <c r="I33" i="21"/>
  <c r="H33" i="21"/>
  <c r="G33" i="21"/>
  <c r="F33" i="21"/>
  <c r="E33" i="21"/>
  <c r="D33" i="21"/>
  <c r="A28" i="21"/>
  <c r="I27" i="21"/>
  <c r="H27" i="21"/>
  <c r="G27" i="21"/>
  <c r="F27" i="21"/>
  <c r="E27" i="21"/>
  <c r="D27" i="21"/>
  <c r="A23" i="21"/>
  <c r="I22" i="21"/>
  <c r="H22" i="21"/>
  <c r="G22" i="21"/>
  <c r="F22" i="21"/>
  <c r="E22" i="21"/>
  <c r="D22" i="21"/>
  <c r="A17" i="21"/>
  <c r="I16" i="21"/>
  <c r="H16" i="21"/>
  <c r="G16" i="21"/>
  <c r="F16" i="21"/>
  <c r="E16" i="21"/>
  <c r="D16" i="21"/>
  <c r="A12" i="21"/>
  <c r="I11" i="21"/>
  <c r="H11" i="21"/>
  <c r="G11" i="21"/>
  <c r="F11" i="21"/>
  <c r="E11" i="21"/>
  <c r="D11" i="21"/>
  <c r="A6" i="21"/>
  <c r="A4" i="21"/>
  <c r="C2" i="21"/>
  <c r="C45" i="21" s="1"/>
  <c r="B45" i="21" s="1"/>
  <c r="E11" i="11"/>
  <c r="F11" i="11"/>
  <c r="G11" i="11"/>
  <c r="E16" i="11"/>
  <c r="F16" i="11"/>
  <c r="G16" i="11"/>
  <c r="E22" i="11"/>
  <c r="F22" i="11"/>
  <c r="G22" i="11"/>
  <c r="E27" i="11"/>
  <c r="F27" i="11"/>
  <c r="G27" i="11"/>
  <c r="E33" i="11"/>
  <c r="F33" i="11"/>
  <c r="G33" i="11"/>
  <c r="E37" i="11"/>
  <c r="E34" i="11" s="1"/>
  <c r="F37" i="11"/>
  <c r="F34" i="11" s="1"/>
  <c r="G37" i="11"/>
  <c r="G34" i="11" s="1"/>
  <c r="A36" i="9"/>
  <c r="A36" i="21" s="1"/>
  <c r="A35" i="9"/>
  <c r="A35" i="25" s="1"/>
  <c r="H33" i="11"/>
  <c r="D33" i="11"/>
  <c r="H27" i="11"/>
  <c r="D27" i="11"/>
  <c r="H22" i="11"/>
  <c r="D22" i="11"/>
  <c r="H16" i="11"/>
  <c r="D16" i="11"/>
  <c r="H11" i="11"/>
  <c r="D11" i="11"/>
  <c r="C2" i="11"/>
  <c r="C45" i="11" s="1"/>
  <c r="A45" i="9"/>
  <c r="A45" i="28" s="1"/>
  <c r="A44" i="9"/>
  <c r="A44" i="28" s="1"/>
  <c r="A43" i="9"/>
  <c r="A43" i="28" s="1"/>
  <c r="A42" i="9"/>
  <c r="A42" i="28" s="1"/>
  <c r="A41" i="9"/>
  <c r="A41" i="26" s="1"/>
  <c r="A40" i="9"/>
  <c r="A40" i="26" s="1"/>
  <c r="A39" i="9"/>
  <c r="A39" i="28" s="1"/>
  <c r="C2" i="9" l="1"/>
  <c r="G5" i="26"/>
  <c r="A35" i="22"/>
  <c r="A42" i="23"/>
  <c r="A39" i="21"/>
  <c r="A35" i="26"/>
  <c r="A44" i="24"/>
  <c r="A35" i="23"/>
  <c r="A41" i="21"/>
  <c r="A36" i="25"/>
  <c r="A36" i="23"/>
  <c r="A43" i="24"/>
  <c r="A42" i="21"/>
  <c r="A36" i="26"/>
  <c r="A44" i="27"/>
  <c r="A36" i="22"/>
  <c r="A39" i="23"/>
  <c r="A41" i="23"/>
  <c r="A35" i="24"/>
  <c r="A36" i="24"/>
  <c r="A39" i="25"/>
  <c r="A40" i="25"/>
  <c r="A42" i="26"/>
  <c r="A39" i="26"/>
  <c r="A42" i="22"/>
  <c r="A43" i="22"/>
  <c r="A36" i="27"/>
  <c r="A40" i="21"/>
  <c r="A43" i="23"/>
  <c r="A43" i="26"/>
  <c r="A35" i="28"/>
  <c r="A44" i="23"/>
  <c r="A44" i="26"/>
  <c r="A36" i="28"/>
  <c r="A45" i="23"/>
  <c r="A45" i="26"/>
  <c r="A39" i="27"/>
  <c r="A43" i="21"/>
  <c r="A39" i="24"/>
  <c r="A40" i="27"/>
  <c r="A44" i="21"/>
  <c r="A39" i="22"/>
  <c r="A40" i="24"/>
  <c r="A41" i="27"/>
  <c r="A45" i="21"/>
  <c r="A40" i="22"/>
  <c r="A41" i="24"/>
  <c r="A42" i="27"/>
  <c r="A41" i="22"/>
  <c r="A42" i="24"/>
  <c r="A43" i="27"/>
  <c r="A45" i="24"/>
  <c r="A41" i="25"/>
  <c r="A44" i="22"/>
  <c r="A35" i="21"/>
  <c r="A45" i="22"/>
  <c r="A42" i="25"/>
  <c r="A40" i="28"/>
  <c r="A43" i="25"/>
  <c r="A41" i="28"/>
  <c r="A45" i="27"/>
  <c r="A44" i="25"/>
  <c r="A45" i="25"/>
  <c r="A35" i="27"/>
  <c r="A40" i="23"/>
  <c r="G48" i="26"/>
  <c r="H55" i="9"/>
  <c r="G55" i="9"/>
  <c r="L55" i="9"/>
  <c r="K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14" i="25"/>
  <c r="B14" i="25" s="1"/>
  <c r="C29" i="25"/>
  <c r="C18" i="25"/>
  <c r="C32" i="25"/>
  <c r="B32" i="25" s="1"/>
  <c r="C7" i="25"/>
  <c r="C21" i="25"/>
  <c r="B21" i="25" s="1"/>
  <c r="C26" i="25"/>
  <c r="B26" i="25" s="1"/>
  <c r="C31" i="25"/>
  <c r="B31" i="25" s="1"/>
  <c r="C36" i="25"/>
  <c r="B36" i="25" s="1"/>
  <c r="C42" i="25"/>
  <c r="B42" i="25" s="1"/>
  <c r="C9" i="25"/>
  <c r="B9" i="25" s="1"/>
  <c r="C19" i="25"/>
  <c r="B19" i="25" s="1"/>
  <c r="C24" i="25"/>
  <c r="C40" i="25"/>
  <c r="B40" i="25" s="1"/>
  <c r="C44" i="25"/>
  <c r="B44" i="25" s="1"/>
  <c r="C8" i="25"/>
  <c r="B8" i="25" s="1"/>
  <c r="C13" i="25"/>
  <c r="C39" i="25"/>
  <c r="B39" i="25" s="1"/>
  <c r="L39" i="9" s="1"/>
  <c r="C43" i="25"/>
  <c r="B43" i="25" s="1"/>
  <c r="C10" i="25"/>
  <c r="B10" i="25" s="1"/>
  <c r="C15" i="25"/>
  <c r="B15" i="25" s="1"/>
  <c r="C20" i="25"/>
  <c r="B20" i="25" s="1"/>
  <c r="C25" i="25"/>
  <c r="B25" i="25" s="1"/>
  <c r="C30" i="25"/>
  <c r="B30" i="25" s="1"/>
  <c r="C35" i="25"/>
  <c r="C41" i="25"/>
  <c r="B41" i="25" s="1"/>
  <c r="C9" i="24"/>
  <c r="B9" i="24" s="1"/>
  <c r="C40" i="24"/>
  <c r="B40" i="24" s="1"/>
  <c r="C8" i="24"/>
  <c r="B8" i="24" s="1"/>
  <c r="C13" i="24"/>
  <c r="C18" i="24"/>
  <c r="C32" i="24"/>
  <c r="B32" i="24" s="1"/>
  <c r="C39" i="24"/>
  <c r="B39" i="24" s="1"/>
  <c r="K39" i="9" s="1"/>
  <c r="C43" i="24"/>
  <c r="B43" i="24" s="1"/>
  <c r="C24" i="24"/>
  <c r="C44" i="24"/>
  <c r="B44" i="24" s="1"/>
  <c r="C7" i="24"/>
  <c r="C21" i="24"/>
  <c r="B21" i="24" s="1"/>
  <c r="C26" i="24"/>
  <c r="B26" i="24" s="1"/>
  <c r="C31" i="24"/>
  <c r="B31" i="24" s="1"/>
  <c r="C36" i="24"/>
  <c r="B36" i="24" s="1"/>
  <c r="C42" i="24"/>
  <c r="B42" i="24" s="1"/>
  <c r="C14" i="24"/>
  <c r="B14" i="24" s="1"/>
  <c r="C19" i="24"/>
  <c r="B19" i="24" s="1"/>
  <c r="C29" i="24"/>
  <c r="C10" i="24"/>
  <c r="B10" i="24" s="1"/>
  <c r="C15" i="24"/>
  <c r="B15" i="24" s="1"/>
  <c r="C20" i="24"/>
  <c r="B20" i="24" s="1"/>
  <c r="C25" i="24"/>
  <c r="B25" i="24" s="1"/>
  <c r="C30" i="24"/>
  <c r="B30" i="24" s="1"/>
  <c r="C35" i="24"/>
  <c r="C41" i="24"/>
  <c r="B41" i="24"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L41" i="9" l="1"/>
  <c r="I41" i="9"/>
  <c r="AH10" i="20" s="1"/>
  <c r="AF7" i="30" s="1"/>
  <c r="H41" i="9"/>
  <c r="AH9" i="20" s="1"/>
  <c r="AF6" i="30" s="1"/>
  <c r="G41" i="9"/>
  <c r="AH8" i="20" s="1"/>
  <c r="AF5" i="30" s="1"/>
  <c r="K41" i="9"/>
  <c r="AH12" i="20" s="1"/>
  <c r="AF9" i="30" s="1"/>
  <c r="F41" i="9"/>
  <c r="E41" i="9"/>
  <c r="AH6" i="20" s="1"/>
  <c r="AF3" i="30" s="1"/>
  <c r="G4" i="26"/>
  <c r="G52" i="26" s="1"/>
  <c r="I45" i="9"/>
  <c r="AL10" i="20" s="1"/>
  <c r="AJ7" i="30" s="1"/>
  <c r="AF10" i="20"/>
  <c r="AD7" i="30" s="1"/>
  <c r="AF9" i="20"/>
  <c r="AD6" i="30" s="1"/>
  <c r="AF8" i="20"/>
  <c r="AD5" i="30" s="1"/>
  <c r="AF13" i="20"/>
  <c r="AD10" i="30" s="1"/>
  <c r="AF12" i="20"/>
  <c r="AD9" i="30" s="1"/>
  <c r="AF7" i="20"/>
  <c r="AD4" i="30" s="1"/>
  <c r="AF6" i="20"/>
  <c r="AD3" i="30" s="1"/>
  <c r="L21" i="9"/>
  <c r="I26" i="9"/>
  <c r="U10" i="20" s="1"/>
  <c r="U7" i="30" s="1"/>
  <c r="I30" i="9"/>
  <c r="X10" i="20" s="1"/>
  <c r="X7" i="30" s="1"/>
  <c r="I10" i="9"/>
  <c r="H10" i="20" s="1"/>
  <c r="H7" i="30" s="1"/>
  <c r="I14" i="9"/>
  <c r="K10" i="20" s="1"/>
  <c r="K7" i="30" s="1"/>
  <c r="I36" i="9"/>
  <c r="AD10" i="20" s="1"/>
  <c r="I8" i="9"/>
  <c r="F10" i="20" s="1"/>
  <c r="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AD9" i="20" s="1"/>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4" i="9"/>
  <c r="AK9" i="20" s="1"/>
  <c r="AI6" i="30" s="1"/>
  <c r="H25" i="9"/>
  <c r="T9" i="20" s="1"/>
  <c r="T6" i="30" s="1"/>
  <c r="G36" i="9"/>
  <c r="AD8" i="20" s="1"/>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L59" i="9"/>
  <c r="L25" i="9"/>
  <c r="L43" i="9"/>
  <c r="L36" i="9"/>
  <c r="AD13" i="20" s="1"/>
  <c r="L20" i="9"/>
  <c r="L40" i="9"/>
  <c r="L19" i="9"/>
  <c r="L32" i="9"/>
  <c r="L31" i="9"/>
  <c r="L44" i="9"/>
  <c r="L15" i="9"/>
  <c r="L14" i="9"/>
  <c r="L8" i="9"/>
  <c r="L26" i="9"/>
  <c r="L45" i="9"/>
  <c r="L30" i="9"/>
  <c r="L10" i="9"/>
  <c r="L9" i="9"/>
  <c r="L42" i="9"/>
  <c r="K45" i="9"/>
  <c r="AL12" i="20" s="1"/>
  <c r="AJ9" i="30" s="1"/>
  <c r="K43" i="9"/>
  <c r="AJ12" i="20" s="1"/>
  <c r="AH9" i="30" s="1"/>
  <c r="K44" i="9"/>
  <c r="AK12" i="20" s="1"/>
  <c r="AI9" i="30" s="1"/>
  <c r="K42" i="9"/>
  <c r="AI12" i="20" s="1"/>
  <c r="AG9" i="30" s="1"/>
  <c r="K31" i="9"/>
  <c r="Y12" i="20" s="1"/>
  <c r="Y9" i="30" s="1"/>
  <c r="K25" i="9"/>
  <c r="T12" i="20" s="1"/>
  <c r="T9" i="30" s="1"/>
  <c r="K26" i="9"/>
  <c r="U12" i="20" s="1"/>
  <c r="U9" i="30" s="1"/>
  <c r="K20" i="9"/>
  <c r="P12" i="20" s="1"/>
  <c r="P9" i="30" s="1"/>
  <c r="K19" i="9"/>
  <c r="O12" i="20" s="1"/>
  <c r="O9" i="30" s="1"/>
  <c r="K40" i="9"/>
  <c r="K36" i="9"/>
  <c r="AD12" i="20" s="1"/>
  <c r="K59" i="9"/>
  <c r="K64" i="9" s="1"/>
  <c r="K15" i="9"/>
  <c r="L12" i="20" s="1"/>
  <c r="L9" i="30" s="1"/>
  <c r="K32" i="9"/>
  <c r="Z12" i="20" s="1"/>
  <c r="Z9" i="30" s="1"/>
  <c r="K14" i="9"/>
  <c r="K12" i="20" s="1"/>
  <c r="K9" i="30" s="1"/>
  <c r="K21" i="9"/>
  <c r="Q12" i="20" s="1"/>
  <c r="Q9" i="30" s="1"/>
  <c r="K30" i="9"/>
  <c r="X12" i="20" s="1"/>
  <c r="X9" i="30" s="1"/>
  <c r="K10" i="9"/>
  <c r="H12" i="20" s="1"/>
  <c r="H9" i="30" s="1"/>
  <c r="K8" i="9"/>
  <c r="F12" i="20" s="1"/>
  <c r="F9" i="30" s="1"/>
  <c r="K9" i="9"/>
  <c r="G12" i="20" s="1"/>
  <c r="G9" i="30" s="1"/>
  <c r="F44" i="9"/>
  <c r="AK7" i="20" s="1"/>
  <c r="AI4" i="30" s="1"/>
  <c r="F20" i="9"/>
  <c r="P7" i="20" s="1"/>
  <c r="P4" i="30" s="1"/>
  <c r="F45" i="9"/>
  <c r="AL7" i="20" s="1"/>
  <c r="AJ4" i="30" s="1"/>
  <c r="F10" i="9"/>
  <c r="H7" i="20" s="1"/>
  <c r="H4" i="30" s="1"/>
  <c r="F30" i="9"/>
  <c r="X7" i="20" s="1"/>
  <c r="X4" i="30" s="1"/>
  <c r="F15" i="9"/>
  <c r="L7" i="20" s="1"/>
  <c r="L4" i="30" s="1"/>
  <c r="F36" i="9"/>
  <c r="AD7" i="20" s="1"/>
  <c r="F9" i="9"/>
  <c r="G7" i="20" s="1"/>
  <c r="G4" i="30" s="1"/>
  <c r="F59" i="9"/>
  <c r="F63" i="9" s="1"/>
  <c r="F21" i="9"/>
  <c r="Q7" i="20" s="1"/>
  <c r="Q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5" i="9"/>
  <c r="AL6" i="20" s="1"/>
  <c r="AJ3" i="30" s="1"/>
  <c r="E31" i="9"/>
  <c r="Y6" i="20" s="1"/>
  <c r="Y3" i="30" s="1"/>
  <c r="E9" i="9"/>
  <c r="G6" i="20" s="1"/>
  <c r="G3" i="30" s="1"/>
  <c r="E25" i="9"/>
  <c r="T6" i="20" s="1"/>
  <c r="T3" i="30" s="1"/>
  <c r="E59" i="9"/>
  <c r="E66" i="9" s="1"/>
  <c r="E42" i="9"/>
  <c r="AI6" i="20" s="1"/>
  <c r="AG3" i="30" s="1"/>
  <c r="E36" i="9"/>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AC10" i="20"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AC9" i="20" s="1"/>
  <c r="B29" i="27"/>
  <c r="H29" i="9" s="1"/>
  <c r="W9" i="20" s="1"/>
  <c r="W6" i="30" s="1"/>
  <c r="C33" i="27"/>
  <c r="C37" i="26"/>
  <c r="B34" i="26" s="1"/>
  <c r="G34" i="9" s="1"/>
  <c r="AB8" i="20" s="1"/>
  <c r="AA5" i="30" s="1"/>
  <c r="B35" i="26"/>
  <c r="G35" i="9" s="1"/>
  <c r="AC8" i="20"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C37" i="25"/>
  <c r="B34" i="25" s="1"/>
  <c r="L34" i="9" s="1"/>
  <c r="B35" i="25"/>
  <c r="L35" i="9" s="1"/>
  <c r="C16" i="25"/>
  <c r="B13" i="25"/>
  <c r="L13" i="9" s="1"/>
  <c r="C27" i="25"/>
  <c r="B24" i="25"/>
  <c r="L24" i="9" s="1"/>
  <c r="B29" i="25"/>
  <c r="L29" i="9" s="1"/>
  <c r="C33" i="25"/>
  <c r="B7" i="25"/>
  <c r="L7" i="9" s="1"/>
  <c r="C11" i="25"/>
  <c r="C22" i="25"/>
  <c r="B18" i="25"/>
  <c r="L18" i="9" s="1"/>
  <c r="C37" i="24"/>
  <c r="B34" i="24" s="1"/>
  <c r="K34" i="9" s="1"/>
  <c r="AB12" i="20" s="1"/>
  <c r="AA9" i="30" s="1"/>
  <c r="B35" i="24"/>
  <c r="K35" i="9" s="1"/>
  <c r="AC12" i="20" s="1"/>
  <c r="C27" i="24"/>
  <c r="B24" i="24"/>
  <c r="K24" i="9" s="1"/>
  <c r="S12" i="20" s="1"/>
  <c r="S9" i="30" s="1"/>
  <c r="C22" i="24"/>
  <c r="B18" i="24"/>
  <c r="K18" i="9" s="1"/>
  <c r="N12" i="20" s="1"/>
  <c r="N9" i="30" s="1"/>
  <c r="B7" i="24"/>
  <c r="K7" i="9" s="1"/>
  <c r="E12" i="20" s="1"/>
  <c r="E9" i="30" s="1"/>
  <c r="C11" i="24"/>
  <c r="B29" i="24"/>
  <c r="K29" i="9" s="1"/>
  <c r="W12" i="20" s="1"/>
  <c r="W9" i="30" s="1"/>
  <c r="C33" i="24"/>
  <c r="B13" i="24"/>
  <c r="K13" i="9" s="1"/>
  <c r="J12" i="20" s="1"/>
  <c r="J9" i="30" s="1"/>
  <c r="C16" i="24"/>
  <c r="B13" i="23"/>
  <c r="F13" i="9" s="1"/>
  <c r="J7" i="20" s="1"/>
  <c r="J4" i="30" s="1"/>
  <c r="C16" i="23"/>
  <c r="C11" i="23"/>
  <c r="B7" i="23"/>
  <c r="F7" i="9" s="1"/>
  <c r="E7" i="20" s="1"/>
  <c r="E4" i="30" s="1"/>
  <c r="C37" i="23"/>
  <c r="B34" i="23" s="1"/>
  <c r="F34" i="9" s="1"/>
  <c r="AB7" i="20" s="1"/>
  <c r="AA4" i="30" s="1"/>
  <c r="B35" i="23"/>
  <c r="F35" i="9" s="1"/>
  <c r="AC7" i="20"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6" i="11"/>
  <c r="B35" i="11"/>
  <c r="B32" i="11"/>
  <c r="B31" i="11"/>
  <c r="B30" i="11"/>
  <c r="B29" i="11"/>
  <c r="B26" i="11"/>
  <c r="B25" i="11"/>
  <c r="B24" i="11"/>
  <c r="B21" i="11"/>
  <c r="B20" i="11"/>
  <c r="B19" i="11"/>
  <c r="B18" i="11"/>
  <c r="B15" i="11"/>
  <c r="B14" i="11"/>
  <c r="B13" i="11"/>
  <c r="B10" i="11"/>
  <c r="B9" i="11"/>
  <c r="B8" i="11"/>
  <c r="B7" i="11"/>
  <c r="AH7" i="20" l="1"/>
  <c r="AF4" i="30" s="1"/>
  <c r="AB4" i="30"/>
  <c r="AC6" i="20"/>
  <c r="AC4" i="30"/>
  <c r="AD6" i="20"/>
  <c r="B39" i="9"/>
  <c r="J41" i="9"/>
  <c r="G56" i="26"/>
  <c r="G57" i="26" s="1"/>
  <c r="G3" i="26" s="1"/>
  <c r="AB13" i="20"/>
  <c r="AA10" i="30" s="1"/>
  <c r="L64" i="9"/>
  <c r="AJ13" i="20"/>
  <c r="AH10" i="30" s="1"/>
  <c r="G13" i="20"/>
  <c r="G10" i="30" s="1"/>
  <c r="U13" i="20"/>
  <c r="U10" i="30" s="1"/>
  <c r="AK13" i="20"/>
  <c r="AI10" i="30" s="1"/>
  <c r="E13" i="20"/>
  <c r="E10" i="30" s="1"/>
  <c r="H13" i="20"/>
  <c r="H10" i="30" s="1"/>
  <c r="Y13" i="20"/>
  <c r="Y10" i="30" s="1"/>
  <c r="N13" i="20"/>
  <c r="N10" i="30" s="1"/>
  <c r="X13" i="20"/>
  <c r="X10" i="30" s="1"/>
  <c r="Q13" i="20"/>
  <c r="Q10" i="30" s="1"/>
  <c r="S13" i="20"/>
  <c r="S10" i="30" s="1"/>
  <c r="F13" i="20"/>
  <c r="F10" i="30" s="1"/>
  <c r="P13" i="20"/>
  <c r="P10" i="30" s="1"/>
  <c r="J13" i="20"/>
  <c r="J10" i="30" s="1"/>
  <c r="K13" i="20"/>
  <c r="K10" i="30" s="1"/>
  <c r="Z13" i="20"/>
  <c r="Z10" i="30" s="1"/>
  <c r="AH13" i="20"/>
  <c r="AF10" i="30" s="1"/>
  <c r="T13" i="20"/>
  <c r="T10" i="30" s="1"/>
  <c r="W13" i="20"/>
  <c r="W10" i="30" s="1"/>
  <c r="AI13" i="20"/>
  <c r="AG10" i="30" s="1"/>
  <c r="AL13" i="20"/>
  <c r="AJ10" i="30" s="1"/>
  <c r="L13" i="20"/>
  <c r="L10" i="30" s="1"/>
  <c r="O13" i="20"/>
  <c r="O10" i="30" s="1"/>
  <c r="I70" i="9"/>
  <c r="I71" i="9" s="1"/>
  <c r="AM10" i="20" s="1"/>
  <c r="AK7" i="30" s="1"/>
  <c r="AG10" i="20"/>
  <c r="AE7" i="30" s="1"/>
  <c r="H70" i="9"/>
  <c r="H71" i="9" s="1"/>
  <c r="AM9" i="20" s="1"/>
  <c r="AK6" i="30" s="1"/>
  <c r="AG9" i="20"/>
  <c r="AE6" i="30" s="1"/>
  <c r="G70" i="9"/>
  <c r="G71" i="9" s="1"/>
  <c r="AM8" i="20" s="1"/>
  <c r="AK5" i="30" s="1"/>
  <c r="AG8" i="20"/>
  <c r="AE5" i="30" s="1"/>
  <c r="L70" i="9"/>
  <c r="L71" i="9" s="1"/>
  <c r="AM13" i="20" s="1"/>
  <c r="AK10" i="30" s="1"/>
  <c r="AG13" i="20"/>
  <c r="AE10" i="30" s="1"/>
  <c r="AB9" i="30"/>
  <c r="AC13" i="20"/>
  <c r="AB10" i="30" s="1"/>
  <c r="AC10" i="30"/>
  <c r="AC9" i="30"/>
  <c r="K70" i="9"/>
  <c r="K71" i="9" s="1"/>
  <c r="AM12" i="20" s="1"/>
  <c r="AK9" i="30" s="1"/>
  <c r="AG12" i="20"/>
  <c r="AE9" i="30" s="1"/>
  <c r="F70" i="9"/>
  <c r="F71" i="9" s="1"/>
  <c r="AM7" i="20" s="1"/>
  <c r="AK4" i="30" s="1"/>
  <c r="AG7" i="20"/>
  <c r="AE4" i="30" s="1"/>
  <c r="E70" i="9"/>
  <c r="E71" i="9" s="1"/>
  <c r="AM6" i="20" s="1"/>
  <c r="AK3" i="30" s="1"/>
  <c r="AG6" i="20"/>
  <c r="AE3" i="30" s="1"/>
  <c r="AF11" i="20"/>
  <c r="AD8" i="30" s="1"/>
  <c r="I63" i="9"/>
  <c r="I66" i="9"/>
  <c r="K65" i="9"/>
  <c r="H64" i="9"/>
  <c r="B12" i="28"/>
  <c r="I12" i="9" s="1"/>
  <c r="I10" i="20" s="1"/>
  <c r="I7" i="30" s="1"/>
  <c r="E63" i="9"/>
  <c r="E65" i="9"/>
  <c r="L65" i="9"/>
  <c r="L66" i="9"/>
  <c r="B6" i="26"/>
  <c r="G6" i="9" s="1"/>
  <c r="D8" i="20" s="1"/>
  <c r="D5" i="30" s="1"/>
  <c r="E64" i="9"/>
  <c r="B28" i="21"/>
  <c r="D28" i="9" s="1"/>
  <c r="L63" i="9"/>
  <c r="B28" i="23"/>
  <c r="F28" i="9" s="1"/>
  <c r="V7" i="20" s="1"/>
  <c r="V4" i="30" s="1"/>
  <c r="B17" i="21"/>
  <c r="D17" i="9" s="1"/>
  <c r="B12" i="22"/>
  <c r="E12" i="9" s="1"/>
  <c r="I6" i="20" s="1"/>
  <c r="I3" i="30" s="1"/>
  <c r="B28" i="27"/>
  <c r="H28" i="9" s="1"/>
  <c r="V9" i="20" s="1"/>
  <c r="V6" i="30" s="1"/>
  <c r="B17" i="22"/>
  <c r="E17" i="9" s="1"/>
  <c r="M6" i="20" s="1"/>
  <c r="M3" i="30" s="1"/>
  <c r="F64" i="9"/>
  <c r="F65" i="9"/>
  <c r="B17" i="24"/>
  <c r="K17" i="9" s="1"/>
  <c r="M12" i="20" s="1"/>
  <c r="M9" i="30" s="1"/>
  <c r="B17" i="27"/>
  <c r="H17" i="9" s="1"/>
  <c r="M9" i="20" s="1"/>
  <c r="M6" i="30" s="1"/>
  <c r="B23" i="23"/>
  <c r="F23" i="9" s="1"/>
  <c r="R7" i="20" s="1"/>
  <c r="R4" i="30" s="1"/>
  <c r="H63" i="9"/>
  <c r="H65" i="9"/>
  <c r="B6" i="25"/>
  <c r="L6" i="9" s="1"/>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B28" i="25"/>
  <c r="L28" i="9" s="1"/>
  <c r="B23" i="25"/>
  <c r="L23" i="9" s="1"/>
  <c r="B17" i="25"/>
  <c r="L17" i="9" s="1"/>
  <c r="B12" i="25"/>
  <c r="L12" i="9" s="1"/>
  <c r="K63" i="9"/>
  <c r="K66" i="9"/>
  <c r="B28" i="24"/>
  <c r="K28" i="9" s="1"/>
  <c r="V12" i="20" s="1"/>
  <c r="V9" i="30" s="1"/>
  <c r="B23" i="24"/>
  <c r="K23" i="9" s="1"/>
  <c r="R12" i="20" s="1"/>
  <c r="R9" i="30" s="1"/>
  <c r="B12" i="24"/>
  <c r="K12" i="9" s="1"/>
  <c r="I12" i="20" s="1"/>
  <c r="I9" i="30" s="1"/>
  <c r="B6" i="24"/>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J45" i="9"/>
  <c r="AL11" i="20" s="1"/>
  <c r="AJ8" i="30" s="1"/>
  <c r="J26" i="9"/>
  <c r="U11" i="20" s="1"/>
  <c r="U8" i="30" s="1"/>
  <c r="J24" i="9"/>
  <c r="S11" i="20" s="1"/>
  <c r="S8" i="30" s="1"/>
  <c r="B23" i="21"/>
  <c r="D23" i="9" s="1"/>
  <c r="B12" i="21"/>
  <c r="D12" i="9" s="1"/>
  <c r="B6" i="21"/>
  <c r="H37" i="11"/>
  <c r="H34" i="11" s="1"/>
  <c r="D37" i="11"/>
  <c r="D34" i="11" s="1"/>
  <c r="AH11" i="20" l="1"/>
  <c r="AF8" i="30" s="1"/>
  <c r="B35" i="9"/>
  <c r="AC11" i="20"/>
  <c r="AB8" i="30" s="1"/>
  <c r="B36" i="9"/>
  <c r="AD11" i="20"/>
  <c r="AC8" i="30" s="1"/>
  <c r="B19" i="9"/>
  <c r="B45" i="9"/>
  <c r="B29" i="9"/>
  <c r="B41" i="9"/>
  <c r="B14" i="9"/>
  <c r="B20" i="9"/>
  <c r="B24" i="9"/>
  <c r="B30" i="9"/>
  <c r="B31" i="9"/>
  <c r="B7" i="9"/>
  <c r="B26" i="9"/>
  <c r="B43" i="9"/>
  <c r="B15" i="9"/>
  <c r="B42" i="9"/>
  <c r="B25" i="9"/>
  <c r="B32" i="9"/>
  <c r="B13" i="9"/>
  <c r="B8" i="9"/>
  <c r="B21" i="9"/>
  <c r="B18" i="9"/>
  <c r="B10" i="9"/>
  <c r="B44" i="9"/>
  <c r="B9" i="9"/>
  <c r="M13" i="20"/>
  <c r="M10" i="30" s="1"/>
  <c r="R13" i="20"/>
  <c r="R10" i="30" s="1"/>
  <c r="V13" i="20"/>
  <c r="V10" i="30" s="1"/>
  <c r="D13" i="20"/>
  <c r="D10" i="30" s="1"/>
  <c r="I13" i="20"/>
  <c r="I10" i="30" s="1"/>
  <c r="E60" i="9"/>
  <c r="I60" i="9"/>
  <c r="L60" i="9"/>
  <c r="J70" i="9"/>
  <c r="J71" i="9" s="1"/>
  <c r="AM11" i="20" s="1"/>
  <c r="AK8" i="30" s="1"/>
  <c r="AG11" i="20"/>
  <c r="AE8" i="30" s="1"/>
  <c r="G60" i="9"/>
  <c r="F60" i="9"/>
  <c r="K60" i="9"/>
  <c r="H60" i="9"/>
  <c r="I6" i="9"/>
  <c r="D10" i="20" s="1"/>
  <c r="D7" i="30" s="1"/>
  <c r="H6" i="9"/>
  <c r="D9" i="20" s="1"/>
  <c r="D6" i="30" s="1"/>
  <c r="K6" i="9"/>
  <c r="D12" i="20" s="1"/>
  <c r="D9" i="30" s="1"/>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5"/>
  <c r="A2" i="21"/>
  <c r="A2" i="28"/>
  <c r="A2" i="22"/>
  <c r="A2" i="27"/>
  <c r="A2" i="24"/>
  <c r="A31" i="9"/>
  <c r="A30" i="9"/>
  <c r="A29" i="9"/>
  <c r="A26" i="9"/>
  <c r="A25" i="9"/>
  <c r="A24" i="9"/>
  <c r="A21" i="9"/>
  <c r="A20" i="9"/>
  <c r="A19" i="9"/>
  <c r="A18" i="9"/>
  <c r="A15" i="9"/>
  <c r="A14" i="9"/>
  <c r="A13" i="9"/>
  <c r="A10" i="9"/>
  <c r="A9" i="9"/>
  <c r="A7" i="9"/>
  <c r="A8" i="9"/>
  <c r="A30" i="26" l="1"/>
  <c r="A30" i="28"/>
  <c r="A30" i="25"/>
  <c r="A30" i="21"/>
  <c r="A30" i="23"/>
  <c r="A30" i="22"/>
  <c r="A30" i="24"/>
  <c r="A30" i="27"/>
  <c r="A32" i="26"/>
  <c r="A32" i="25"/>
  <c r="A32" i="28"/>
  <c r="A32" i="22"/>
  <c r="A32" i="21"/>
  <c r="A32" i="24"/>
  <c r="A32" i="27"/>
  <c r="A32" i="23"/>
  <c r="A7" i="28"/>
  <c r="A7" i="22"/>
  <c r="A7" i="24"/>
  <c r="A7" i="27"/>
  <c r="A7" i="21"/>
  <c r="A7" i="26"/>
  <c r="A7" i="25"/>
  <c r="A7" i="23"/>
  <c r="A31" i="23"/>
  <c r="A31" i="28"/>
  <c r="A31" i="25"/>
  <c r="A31" i="26"/>
  <c r="A31" i="21"/>
  <c r="A31" i="22"/>
  <c r="A31" i="24"/>
  <c r="A31" i="27"/>
  <c r="A9" i="25"/>
  <c r="A9" i="28"/>
  <c r="A9" i="27"/>
  <c r="A9" i="24"/>
  <c r="A9" i="26"/>
  <c r="A9" i="23"/>
  <c r="A9" i="21"/>
  <c r="A9" i="22"/>
  <c r="A14" i="26"/>
  <c r="A14" i="23"/>
  <c r="A14" i="28"/>
  <c r="A14" i="25"/>
  <c r="A14" i="22"/>
  <c r="A14" i="24"/>
  <c r="A14" i="21"/>
  <c r="A14" i="27"/>
  <c r="A15" i="26"/>
  <c r="A15" i="28"/>
  <c r="A15" i="25"/>
  <c r="A15" i="22"/>
  <c r="A15" i="24"/>
  <c r="A15" i="27"/>
  <c r="A15" i="23"/>
  <c r="A15" i="21"/>
  <c r="A8" i="25"/>
  <c r="A8" i="22"/>
  <c r="A8" i="27"/>
  <c r="A8" i="24"/>
  <c r="A8" i="21"/>
  <c r="A8" i="26"/>
  <c r="A8" i="23"/>
  <c r="A8" i="28"/>
  <c r="A10" i="28"/>
  <c r="A10" i="22"/>
  <c r="A10" i="27"/>
  <c r="A10" i="24"/>
  <c r="A10" i="26"/>
  <c r="A10" i="23"/>
  <c r="A10" i="21"/>
  <c r="A10" i="25"/>
  <c r="A13" i="22"/>
  <c r="A13" i="28"/>
  <c r="A13" i="25"/>
  <c r="A13" i="26"/>
  <c r="A13" i="24"/>
  <c r="A13" i="27"/>
  <c r="A13" i="23"/>
  <c r="A13" i="21"/>
  <c r="A18" i="24"/>
  <c r="A18" i="27"/>
  <c r="A18" i="26"/>
  <c r="A18" i="21"/>
  <c r="A18" i="23"/>
  <c r="A18" i="22"/>
  <c r="A18" i="28"/>
  <c r="A18" i="25"/>
  <c r="A19" i="27"/>
  <c r="A19" i="26"/>
  <c r="A19" i="21"/>
  <c r="A19" i="23"/>
  <c r="A19" i="28"/>
  <c r="A19" i="24"/>
  <c r="A19" i="25"/>
  <c r="A19" i="22"/>
  <c r="A20" i="24"/>
  <c r="A20" i="21"/>
  <c r="A20" i="23"/>
  <c r="A20" i="26"/>
  <c r="A20" i="25"/>
  <c r="A20" i="28"/>
  <c r="A20" i="27"/>
  <c r="A20" i="22"/>
  <c r="A21" i="24"/>
  <c r="A21" i="27"/>
  <c r="A21" i="23"/>
  <c r="A21" i="26"/>
  <c r="A21" i="21"/>
  <c r="A21" i="22"/>
  <c r="A21" i="28"/>
  <c r="A21" i="25"/>
  <c r="A24" i="25"/>
  <c r="A24" i="22"/>
  <c r="A24" i="24"/>
  <c r="A24" i="27"/>
  <c r="A24" i="26"/>
  <c r="A24" i="21"/>
  <c r="A24" i="23"/>
  <c r="A24" i="28"/>
  <c r="A25" i="28"/>
  <c r="A25" i="25"/>
  <c r="A25" i="22"/>
  <c r="A25" i="27"/>
  <c r="A25" i="24"/>
  <c r="A25" i="26"/>
  <c r="A25" i="21"/>
  <c r="A25" i="23"/>
  <c r="A26" i="28"/>
  <c r="A26" i="27"/>
  <c r="A26" i="24"/>
  <c r="A26" i="21"/>
  <c r="A26" i="26"/>
  <c r="A26" i="22"/>
  <c r="A26" i="23"/>
  <c r="A26" i="25"/>
  <c r="A29" i="27"/>
  <c r="A29" i="26"/>
  <c r="A29" i="23"/>
  <c r="A29" i="28"/>
  <c r="A29" i="25"/>
  <c r="A29" i="22"/>
  <c r="A29" i="21"/>
  <c r="A29" i="24"/>
  <c r="A36" i="11" l="1"/>
  <c r="A35" i="11"/>
  <c r="A34" i="11"/>
  <c r="A4" i="11"/>
  <c r="C28" i="9"/>
  <c r="C23" i="9"/>
  <c r="C17" i="9"/>
  <c r="C12" i="9"/>
  <c r="C6" i="9"/>
  <c r="AJ23" i="9"/>
  <c r="H12" i="26" l="1"/>
  <c r="D12" i="26"/>
  <c r="D17" i="26"/>
  <c r="H17" i="26"/>
  <c r="H23" i="26"/>
  <c r="D23" i="26"/>
  <c r="D6" i="26"/>
  <c r="H6" i="26"/>
  <c r="D28" i="26"/>
  <c r="H28" i="26"/>
  <c r="E17" i="26"/>
  <c r="G17" i="28"/>
  <c r="G17" i="22"/>
  <c r="G17" i="23"/>
  <c r="F17" i="11"/>
  <c r="E17" i="28"/>
  <c r="F17" i="25"/>
  <c r="G17" i="27"/>
  <c r="I17" i="24"/>
  <c r="F17" i="26"/>
  <c r="D17" i="28"/>
  <c r="F12" i="11"/>
  <c r="E12" i="28"/>
  <c r="G12" i="22"/>
  <c r="F12" i="26"/>
  <c r="D12" i="28"/>
  <c r="G12" i="27"/>
  <c r="E12" i="26"/>
  <c r="G12" i="28"/>
  <c r="I12" i="24"/>
  <c r="F12" i="25"/>
  <c r="G12" i="23"/>
  <c r="F23" i="11"/>
  <c r="E23" i="28"/>
  <c r="E23" i="26"/>
  <c r="F23" i="26"/>
  <c r="D23" i="28"/>
  <c r="G23" i="28"/>
  <c r="I23" i="24"/>
  <c r="G23" i="23"/>
  <c r="G23" i="22"/>
  <c r="F23" i="25"/>
  <c r="G23" i="27"/>
  <c r="G6" i="23"/>
  <c r="F6" i="25"/>
  <c r="G6" i="27"/>
  <c r="E6" i="26"/>
  <c r="G6" i="28"/>
  <c r="I6" i="24"/>
  <c r="G6" i="22"/>
  <c r="E6" i="28"/>
  <c r="F6" i="11"/>
  <c r="F6" i="26"/>
  <c r="D6" i="28"/>
  <c r="F28" i="11"/>
  <c r="G28" i="23"/>
  <c r="F28" i="25"/>
  <c r="G28" i="27"/>
  <c r="I28" i="24"/>
  <c r="F28" i="26"/>
  <c r="E28" i="28"/>
  <c r="E28" i="26"/>
  <c r="G28" i="22"/>
  <c r="D28" i="28"/>
  <c r="G28" i="28"/>
  <c r="E6" i="23"/>
  <c r="F6" i="28"/>
  <c r="F6" i="22"/>
  <c r="F6" i="27"/>
  <c r="I6" i="23"/>
  <c r="F6" i="23"/>
  <c r="G6" i="21"/>
  <c r="F6" i="21"/>
  <c r="H6" i="25"/>
  <c r="H6" i="24"/>
  <c r="H6" i="27"/>
  <c r="D6" i="21"/>
  <c r="I6" i="22"/>
  <c r="E6" i="24"/>
  <c r="I6" i="27"/>
  <c r="H6" i="23"/>
  <c r="G6" i="25"/>
  <c r="I6" i="28"/>
  <c r="E6" i="21"/>
  <c r="E6" i="25"/>
  <c r="F6" i="24"/>
  <c r="H6" i="21"/>
  <c r="I6" i="26"/>
  <c r="D6" i="27"/>
  <c r="H6" i="22"/>
  <c r="H6" i="28"/>
  <c r="I6" i="21"/>
  <c r="D6" i="22"/>
  <c r="E6" i="11"/>
  <c r="E6" i="22"/>
  <c r="D6" i="25"/>
  <c r="D6" i="24"/>
  <c r="I6" i="25"/>
  <c r="G6" i="11"/>
  <c r="D6" i="23"/>
  <c r="G6" i="24"/>
  <c r="E6" i="27"/>
  <c r="D6" i="11"/>
  <c r="H6" i="11"/>
  <c r="I12" i="23"/>
  <c r="F12" i="23"/>
  <c r="E12" i="23"/>
  <c r="E12" i="21"/>
  <c r="F12" i="28"/>
  <c r="G12" i="21"/>
  <c r="D12" i="21"/>
  <c r="I12" i="22"/>
  <c r="F12" i="21"/>
  <c r="I12" i="28"/>
  <c r="G12" i="25"/>
  <c r="F12" i="22"/>
  <c r="H12" i="23"/>
  <c r="E12" i="22"/>
  <c r="D12" i="22"/>
  <c r="F12" i="27"/>
  <c r="H12" i="24"/>
  <c r="F12" i="24"/>
  <c r="I12" i="21"/>
  <c r="E12" i="24"/>
  <c r="D12" i="24"/>
  <c r="D12" i="27"/>
  <c r="I12" i="26"/>
  <c r="D12" i="23"/>
  <c r="H12" i="21"/>
  <c r="E12" i="25"/>
  <c r="H12" i="22"/>
  <c r="E12" i="11"/>
  <c r="I12" i="27"/>
  <c r="H12" i="25"/>
  <c r="G12" i="11"/>
  <c r="G12" i="24"/>
  <c r="H12" i="27"/>
  <c r="D12" i="25"/>
  <c r="I12" i="25"/>
  <c r="E12" i="27"/>
  <c r="H12" i="28"/>
  <c r="H12" i="11"/>
  <c r="D12" i="11"/>
  <c r="F17" i="23"/>
  <c r="F17" i="21"/>
  <c r="G17" i="24"/>
  <c r="D17" i="21"/>
  <c r="G17" i="25"/>
  <c r="D17" i="24"/>
  <c r="E17" i="11"/>
  <c r="H17" i="22"/>
  <c r="E17" i="23"/>
  <c r="D17" i="27"/>
  <c r="G17" i="11"/>
  <c r="D17" i="25"/>
  <c r="F17" i="28"/>
  <c r="I17" i="22"/>
  <c r="D17" i="22"/>
  <c r="H17" i="25"/>
  <c r="H17" i="24"/>
  <c r="I17" i="25"/>
  <c r="E17" i="27"/>
  <c r="H17" i="21"/>
  <c r="F17" i="24"/>
  <c r="G17" i="21"/>
  <c r="I17" i="27"/>
  <c r="H17" i="28"/>
  <c r="I17" i="26"/>
  <c r="I17" i="21"/>
  <c r="E17" i="24"/>
  <c r="E17" i="21"/>
  <c r="F17" i="22"/>
  <c r="D17" i="23"/>
  <c r="I17" i="23"/>
  <c r="E17" i="22"/>
  <c r="F17" i="27"/>
  <c r="H17" i="27"/>
  <c r="E17" i="25"/>
  <c r="I17" i="28"/>
  <c r="H17" i="23"/>
  <c r="D17" i="11"/>
  <c r="H17" i="11"/>
  <c r="I23" i="28"/>
  <c r="F23" i="28"/>
  <c r="H23" i="25"/>
  <c r="I23" i="27"/>
  <c r="D23" i="25"/>
  <c r="F23" i="22"/>
  <c r="G23" i="24"/>
  <c r="F23" i="27"/>
  <c r="E23" i="24"/>
  <c r="I23" i="21"/>
  <c r="D23" i="23"/>
  <c r="E23" i="27"/>
  <c r="E23" i="21"/>
  <c r="D23" i="21"/>
  <c r="I23" i="26"/>
  <c r="H23" i="23"/>
  <c r="H23" i="21"/>
  <c r="F23" i="21"/>
  <c r="F23" i="23"/>
  <c r="E23" i="25"/>
  <c r="D23" i="27"/>
  <c r="G23" i="11"/>
  <c r="H23" i="22"/>
  <c r="E23" i="11"/>
  <c r="F23" i="24"/>
  <c r="G23" i="21"/>
  <c r="H23" i="24"/>
  <c r="D23" i="22"/>
  <c r="I23" i="22"/>
  <c r="H23" i="27"/>
  <c r="H23" i="28"/>
  <c r="E23" i="23"/>
  <c r="I23" i="23"/>
  <c r="G23" i="25"/>
  <c r="I23" i="25"/>
  <c r="D23" i="24"/>
  <c r="E23" i="22"/>
  <c r="H23" i="11"/>
  <c r="D23" i="11"/>
  <c r="I28" i="21"/>
  <c r="E28" i="21"/>
  <c r="H28" i="23"/>
  <c r="D28" i="24"/>
  <c r="G28" i="21"/>
  <c r="H28" i="24"/>
  <c r="H28" i="27"/>
  <c r="E28" i="22"/>
  <c r="H28" i="25"/>
  <c r="E28" i="11"/>
  <c r="E28" i="27"/>
  <c r="F28" i="22"/>
  <c r="H28" i="22"/>
  <c r="F28" i="23"/>
  <c r="D28" i="25"/>
  <c r="G28" i="24"/>
  <c r="I28" i="26"/>
  <c r="F28" i="21"/>
  <c r="I28" i="27"/>
  <c r="I28" i="22"/>
  <c r="F28" i="28"/>
  <c r="D28" i="21"/>
  <c r="D28" i="27"/>
  <c r="I28" i="25"/>
  <c r="G28" i="11"/>
  <c r="I28" i="28"/>
  <c r="D28" i="22"/>
  <c r="H28" i="28"/>
  <c r="E28" i="24"/>
  <c r="E28" i="23"/>
  <c r="H28" i="21"/>
  <c r="E28" i="25"/>
  <c r="D28" i="23"/>
  <c r="F28" i="24"/>
  <c r="F28" i="27"/>
  <c r="G28" i="25"/>
  <c r="H28" i="11"/>
  <c r="D28" i="11"/>
  <c r="A2" i="11"/>
  <c r="H5" i="26" l="1"/>
  <c r="H48" i="26"/>
  <c r="D5" i="26"/>
  <c r="D48" i="26"/>
  <c r="D48" i="28"/>
  <c r="D5" i="28"/>
  <c r="G48" i="22"/>
  <c r="G5" i="22"/>
  <c r="G48" i="27"/>
  <c r="G5" i="27"/>
  <c r="F48" i="26"/>
  <c r="F5" i="26"/>
  <c r="I5" i="24"/>
  <c r="I48" i="24"/>
  <c r="F5" i="25"/>
  <c r="F48" i="25"/>
  <c r="F5" i="11"/>
  <c r="F48" i="11"/>
  <c r="G5" i="28"/>
  <c r="G48" i="28"/>
  <c r="G48" i="23"/>
  <c r="G5" i="23"/>
  <c r="E5" i="28"/>
  <c r="E48" i="28"/>
  <c r="E5" i="26"/>
  <c r="E48" i="26"/>
  <c r="H5" i="21"/>
  <c r="D48" i="24"/>
  <c r="D48" i="21"/>
  <c r="G5" i="24"/>
  <c r="E5" i="25"/>
  <c r="E48" i="25"/>
  <c r="E48" i="21"/>
  <c r="E5" i="21"/>
  <c r="I48" i="28"/>
  <c r="G5" i="25"/>
  <c r="G48" i="25"/>
  <c r="E5" i="22"/>
  <c r="E5" i="27"/>
  <c r="E48" i="27"/>
  <c r="G48" i="24"/>
  <c r="H5" i="23"/>
  <c r="H48" i="23"/>
  <c r="D5" i="23"/>
  <c r="D48" i="23"/>
  <c r="D4" i="23" s="1"/>
  <c r="I48" i="27"/>
  <c r="I5" i="27"/>
  <c r="G48" i="11"/>
  <c r="G5" i="11"/>
  <c r="E48" i="24"/>
  <c r="I48" i="25"/>
  <c r="I5" i="25"/>
  <c r="I5" i="22"/>
  <c r="I48" i="22"/>
  <c r="D48" i="25"/>
  <c r="D4" i="25" s="1"/>
  <c r="D5" i="25"/>
  <c r="H48" i="27"/>
  <c r="H5" i="27"/>
  <c r="E48" i="22"/>
  <c r="H48" i="24"/>
  <c r="H5" i="24"/>
  <c r="E48" i="11"/>
  <c r="E5" i="11"/>
  <c r="H5" i="25"/>
  <c r="H48" i="25"/>
  <c r="D48" i="22"/>
  <c r="D4" i="22" s="1"/>
  <c r="D5" i="22"/>
  <c r="F5" i="21"/>
  <c r="F48" i="21"/>
  <c r="I48" i="21"/>
  <c r="I5" i="21"/>
  <c r="G5" i="21"/>
  <c r="G48" i="21"/>
  <c r="H5" i="28"/>
  <c r="H48" i="28"/>
  <c r="F5" i="23"/>
  <c r="F48" i="23"/>
  <c r="H5" i="22"/>
  <c r="H48" i="22"/>
  <c r="I48" i="23"/>
  <c r="I5" i="23"/>
  <c r="D5" i="24"/>
  <c r="D5" i="27"/>
  <c r="D48" i="27"/>
  <c r="D4" i="27" s="1"/>
  <c r="F5" i="27"/>
  <c r="F48" i="27"/>
  <c r="E5" i="24"/>
  <c r="F5" i="22"/>
  <c r="F48" i="22"/>
  <c r="I5" i="28"/>
  <c r="I5" i="26"/>
  <c r="I48" i="26"/>
  <c r="I4" i="26" s="1"/>
  <c r="F5" i="28"/>
  <c r="F48" i="28"/>
  <c r="F4" i="28" s="1"/>
  <c r="D5" i="21"/>
  <c r="H48" i="21"/>
  <c r="F48" i="24"/>
  <c r="F5" i="24"/>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H4" i="24" l="1"/>
  <c r="H52" i="24" s="1"/>
  <c r="H56" i="24" s="1"/>
  <c r="H57" i="24" s="1"/>
  <c r="H3" i="24" s="1"/>
  <c r="G4" i="11"/>
  <c r="G52" i="11" s="1"/>
  <c r="G56" i="11" s="1"/>
  <c r="G57" i="11" s="1"/>
  <c r="G3" i="11" s="1"/>
  <c r="E4" i="27"/>
  <c r="E52" i="27" s="1"/>
  <c r="E56" i="27" s="1"/>
  <c r="E57" i="27" s="1"/>
  <c r="E3" i="27" s="1"/>
  <c r="E4" i="25"/>
  <c r="E52" i="25" s="1"/>
  <c r="E56" i="25" s="1"/>
  <c r="E57" i="25" s="1"/>
  <c r="E3" i="25" s="1"/>
  <c r="D4" i="24"/>
  <c r="D52" i="24" s="1"/>
  <c r="D56" i="24" s="1"/>
  <c r="D57" i="24" s="1"/>
  <c r="D3" i="24" s="1"/>
  <c r="E4" i="28"/>
  <c r="E52" i="28" s="1"/>
  <c r="E56" i="28" s="1"/>
  <c r="E57" i="28" s="1"/>
  <c r="E3" i="28" s="1"/>
  <c r="G4" i="28"/>
  <c r="G52" i="28" s="1"/>
  <c r="G56" i="28" s="1"/>
  <c r="G57" i="28" s="1"/>
  <c r="G3" i="28" s="1"/>
  <c r="F4" i="25"/>
  <c r="F52" i="25" s="1"/>
  <c r="F56" i="25" s="1"/>
  <c r="F57" i="25" s="1"/>
  <c r="F3" i="25" s="1"/>
  <c r="D4" i="26"/>
  <c r="D52" i="26" s="1"/>
  <c r="H4" i="21"/>
  <c r="H52" i="21" s="1"/>
  <c r="H56" i="21" s="1"/>
  <c r="H57" i="21" s="1"/>
  <c r="H3" i="21" s="1"/>
  <c r="E4" i="22"/>
  <c r="E52" i="22" s="1"/>
  <c r="E56" i="22" s="1"/>
  <c r="E57" i="22" s="1"/>
  <c r="E3" i="22" s="1"/>
  <c r="I4" i="28"/>
  <c r="I52" i="28" s="1"/>
  <c r="I56" i="28" s="1"/>
  <c r="I57" i="28" s="1"/>
  <c r="I3" i="28" s="1"/>
  <c r="F4" i="26"/>
  <c r="F52" i="26" s="1"/>
  <c r="F56" i="26" s="1"/>
  <c r="F57" i="26" s="1"/>
  <c r="F3" i="26" s="1"/>
  <c r="G4" i="22"/>
  <c r="G52" i="22" s="1"/>
  <c r="G56" i="22" s="1"/>
  <c r="G57" i="22" s="1"/>
  <c r="G3" i="22" s="1"/>
  <c r="I4" i="23"/>
  <c r="I52" i="23" s="1"/>
  <c r="I56" i="23" s="1"/>
  <c r="I57" i="23" s="1"/>
  <c r="I3" i="23" s="1"/>
  <c r="H4" i="22"/>
  <c r="H52" i="22" s="1"/>
  <c r="H56" i="22" s="1"/>
  <c r="H57" i="22" s="1"/>
  <c r="H3" i="22" s="1"/>
  <c r="I4" i="25"/>
  <c r="I52" i="25" s="1"/>
  <c r="I56" i="25" s="1"/>
  <c r="I57" i="25" s="1"/>
  <c r="I3" i="25" s="1"/>
  <c r="F4" i="27"/>
  <c r="F52" i="27" s="1"/>
  <c r="F56" i="27" s="1"/>
  <c r="F57" i="27" s="1"/>
  <c r="F3" i="27" s="1"/>
  <c r="I4" i="21"/>
  <c r="I52" i="21" s="1"/>
  <c r="I56" i="21" s="1"/>
  <c r="I57" i="21" s="1"/>
  <c r="I3" i="21" s="1"/>
  <c r="E4" i="11"/>
  <c r="E52" i="11" s="1"/>
  <c r="E56" i="11" s="1"/>
  <c r="E57" i="11" s="1"/>
  <c r="E3" i="11" s="1"/>
  <c r="I4" i="22"/>
  <c r="I52" i="22" s="1"/>
  <c r="I56" i="22" s="1"/>
  <c r="I57" i="22" s="1"/>
  <c r="I3" i="22" s="1"/>
  <c r="E4" i="24"/>
  <c r="E52" i="24" s="1"/>
  <c r="E56" i="24" s="1"/>
  <c r="E57" i="24" s="1"/>
  <c r="E3" i="24" s="1"/>
  <c r="I4" i="27"/>
  <c r="I52" i="27" s="1"/>
  <c r="I56" i="27" s="1"/>
  <c r="I57" i="27" s="1"/>
  <c r="I3" i="27" s="1"/>
  <c r="E4" i="26"/>
  <c r="E52" i="26" s="1"/>
  <c r="E56" i="26" s="1"/>
  <c r="E57" i="26" s="1"/>
  <c r="E3" i="26" s="1"/>
  <c r="F4" i="11"/>
  <c r="F52" i="11" s="1"/>
  <c r="F56" i="11" s="1"/>
  <c r="F57" i="11" s="1"/>
  <c r="F3" i="11" s="1"/>
  <c r="I4" i="24"/>
  <c r="I52" i="24" s="1"/>
  <c r="I56" i="24" s="1"/>
  <c r="I57" i="24" s="1"/>
  <c r="I3" i="24" s="1"/>
  <c r="H4" i="26"/>
  <c r="H52" i="26" s="1"/>
  <c r="E4" i="23"/>
  <c r="E52" i="23" s="1"/>
  <c r="E56" i="23" s="1"/>
  <c r="E57" i="23" s="1"/>
  <c r="E3" i="23" s="1"/>
  <c r="H4" i="28"/>
  <c r="H52" i="28" s="1"/>
  <c r="H56" i="28" s="1"/>
  <c r="H57" i="28" s="1"/>
  <c r="H3" i="28" s="1"/>
  <c r="H4" i="23"/>
  <c r="H52" i="23" s="1"/>
  <c r="H56" i="23" s="1"/>
  <c r="H57" i="23" s="1"/>
  <c r="H3" i="23" s="1"/>
  <c r="F4" i="24"/>
  <c r="F52" i="24" s="1"/>
  <c r="F56" i="24" s="1"/>
  <c r="F57" i="24" s="1"/>
  <c r="F3" i="24" s="1"/>
  <c r="F4" i="22"/>
  <c r="F52" i="22" s="1"/>
  <c r="F56" i="22" s="1"/>
  <c r="F57" i="22" s="1"/>
  <c r="F3" i="22" s="1"/>
  <c r="F4" i="23"/>
  <c r="F52" i="23" s="1"/>
  <c r="F56" i="23" s="1"/>
  <c r="F57" i="23" s="1"/>
  <c r="F3" i="23" s="1"/>
  <c r="G4" i="21"/>
  <c r="G52" i="21" s="1"/>
  <c r="G56" i="21" s="1"/>
  <c r="G57" i="21" s="1"/>
  <c r="G3" i="21" s="1"/>
  <c r="F4" i="21"/>
  <c r="F52" i="21" s="1"/>
  <c r="F56" i="21" s="1"/>
  <c r="F57" i="21" s="1"/>
  <c r="F3" i="21" s="1"/>
  <c r="H4" i="25"/>
  <c r="H52" i="25" s="1"/>
  <c r="H56" i="25" s="1"/>
  <c r="H57" i="25" s="1"/>
  <c r="H3" i="25" s="1"/>
  <c r="H4" i="27"/>
  <c r="H52" i="27" s="1"/>
  <c r="H56" i="27" s="1"/>
  <c r="H57" i="27" s="1"/>
  <c r="H3" i="27" s="1"/>
  <c r="G4" i="24"/>
  <c r="G52" i="24" s="1"/>
  <c r="G56" i="24" s="1"/>
  <c r="G57" i="24" s="1"/>
  <c r="G3" i="24" s="1"/>
  <c r="G4" i="25"/>
  <c r="G52" i="25" s="1"/>
  <c r="G56" i="25" s="1"/>
  <c r="G57" i="25" s="1"/>
  <c r="G3" i="25" s="1"/>
  <c r="E4" i="21"/>
  <c r="E52" i="21" s="1"/>
  <c r="E56" i="21" s="1"/>
  <c r="E57" i="21" s="1"/>
  <c r="E3" i="21" s="1"/>
  <c r="D4" i="21"/>
  <c r="D52" i="21" s="1"/>
  <c r="D56" i="21" s="1"/>
  <c r="D57" i="21" s="1"/>
  <c r="D3" i="21" s="1"/>
  <c r="G4" i="23"/>
  <c r="G52" i="23" s="1"/>
  <c r="G56" i="23" s="1"/>
  <c r="G57" i="23" s="1"/>
  <c r="G3" i="23" s="1"/>
  <c r="G4" i="27"/>
  <c r="G52" i="27" s="1"/>
  <c r="G56" i="27" s="1"/>
  <c r="G57" i="27" s="1"/>
  <c r="G3" i="27" s="1"/>
  <c r="D4" i="28"/>
  <c r="B5" i="26"/>
  <c r="G5" i="9" s="1"/>
  <c r="B5" i="21"/>
  <c r="D5" i="9" s="1"/>
  <c r="D52" i="22"/>
  <c r="D52" i="25"/>
  <c r="F52" i="28"/>
  <c r="B5" i="22"/>
  <c r="E5" i="9" s="1"/>
  <c r="B5" i="27"/>
  <c r="H5" i="9" s="1"/>
  <c r="D52" i="23"/>
  <c r="D52" i="27"/>
  <c r="B5" i="24"/>
  <c r="K5" i="9" s="1"/>
  <c r="B5" i="23"/>
  <c r="F5" i="9" s="1"/>
  <c r="B5" i="25"/>
  <c r="L5" i="9" s="1"/>
  <c r="I52" i="26"/>
  <c r="B5" i="28"/>
  <c r="I5" i="9" s="1"/>
  <c r="H5" i="11"/>
  <c r="H48" i="11"/>
  <c r="H4" i="11" s="1"/>
  <c r="D5" i="11"/>
  <c r="D48" i="11"/>
  <c r="D4" i="11" s="1"/>
  <c r="AF5" i="20"/>
  <c r="AD2" i="30" s="1"/>
  <c r="B4" i="28" l="1"/>
  <c r="I4" i="9" s="1"/>
  <c r="I52" i="9" s="1"/>
  <c r="I56" i="9" s="1"/>
  <c r="I57" i="9" s="1"/>
  <c r="I67" i="9" s="1"/>
  <c r="I48" i="9" s="1"/>
  <c r="I3" i="9" s="1"/>
  <c r="B10" i="20" s="1"/>
  <c r="B7" i="30" s="1"/>
  <c r="B4" i="26"/>
  <c r="G4" i="9" s="1"/>
  <c r="G52" i="9" s="1"/>
  <c r="G56" i="9" s="1"/>
  <c r="G57" i="9" s="1"/>
  <c r="G67" i="9" s="1"/>
  <c r="G48" i="9" s="1"/>
  <c r="G3" i="9" s="1"/>
  <c r="B8" i="20" s="1"/>
  <c r="B5" i="30" s="1"/>
  <c r="H56" i="26"/>
  <c r="H57" i="26" s="1"/>
  <c r="H3" i="26" s="1"/>
  <c r="D56" i="26"/>
  <c r="D57" i="26" s="1"/>
  <c r="D3" i="26" s="1"/>
  <c r="B4" i="21"/>
  <c r="D4" i="9" s="1"/>
  <c r="B4" i="24"/>
  <c r="K4" i="9" s="1"/>
  <c r="K52" i="9" s="1"/>
  <c r="K56" i="9" s="1"/>
  <c r="K57" i="9" s="1"/>
  <c r="K67" i="9" s="1"/>
  <c r="K48" i="9" s="1"/>
  <c r="K3" i="9" s="1"/>
  <c r="B12" i="20" s="1"/>
  <c r="B9" i="30" s="1"/>
  <c r="B4" i="23"/>
  <c r="F4" i="9" s="1"/>
  <c r="F52" i="9" s="1"/>
  <c r="F56" i="9" s="1"/>
  <c r="F57" i="9" s="1"/>
  <c r="F67" i="9" s="1"/>
  <c r="F48" i="9" s="1"/>
  <c r="F3" i="9" s="1"/>
  <c r="B7" i="20" s="1"/>
  <c r="B4" i="30" s="1"/>
  <c r="B4" i="25"/>
  <c r="L4" i="9" s="1"/>
  <c r="L52" i="9" s="1"/>
  <c r="B4" i="22"/>
  <c r="E4" i="9" s="1"/>
  <c r="C6" i="20" s="1"/>
  <c r="C3" i="30" s="1"/>
  <c r="D52" i="28"/>
  <c r="D56" i="28" s="1"/>
  <c r="D57" i="28" s="1"/>
  <c r="D3" i="28" s="1"/>
  <c r="B4" i="27"/>
  <c r="H4" i="9" s="1"/>
  <c r="H52" i="9" s="1"/>
  <c r="H56" i="9" s="1"/>
  <c r="H57" i="9" s="1"/>
  <c r="H67" i="9" s="1"/>
  <c r="H48" i="9" s="1"/>
  <c r="H3" i="9" s="1"/>
  <c r="B9" i="20" s="1"/>
  <c r="B6" i="30" s="1"/>
  <c r="D56" i="27"/>
  <c r="D57" i="27" s="1"/>
  <c r="D3" i="27" s="1"/>
  <c r="D56" i="23"/>
  <c r="D57" i="23" s="1"/>
  <c r="D3" i="23" s="1"/>
  <c r="F56" i="28"/>
  <c r="F57" i="28" s="1"/>
  <c r="F3" i="28" s="1"/>
  <c r="D56" i="25"/>
  <c r="D57" i="25" s="1"/>
  <c r="D3" i="25" s="1"/>
  <c r="I56" i="26"/>
  <c r="I57" i="26" s="1"/>
  <c r="I3" i="26"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C10" i="20" l="1"/>
  <c r="C7" i="30" s="1"/>
  <c r="C13" i="20"/>
  <c r="C10" i="30" s="1"/>
  <c r="C12" i="20"/>
  <c r="C9" i="30" s="1"/>
  <c r="C9" i="20"/>
  <c r="C6" i="30" s="1"/>
  <c r="C8" i="20"/>
  <c r="C5" i="30" s="1"/>
  <c r="C7" i="20"/>
  <c r="C4" i="30" s="1"/>
  <c r="E52" i="9"/>
  <c r="E56" i="9" s="1"/>
  <c r="E57" i="9" s="1"/>
  <c r="E67" i="9" s="1"/>
  <c r="E48" i="9" s="1"/>
  <c r="E3" i="9" s="1"/>
  <c r="B6" i="20" s="1"/>
  <c r="B3" i="30" s="1"/>
  <c r="V11" i="20"/>
  <c r="V8" i="30" s="1"/>
  <c r="B28" i="9"/>
  <c r="M11" i="20"/>
  <c r="M8" i="30" s="1"/>
  <c r="B17" i="9"/>
  <c r="R11" i="20"/>
  <c r="R8" i="30" s="1"/>
  <c r="B23" i="9"/>
  <c r="I11" i="20"/>
  <c r="I8" i="30" s="1"/>
  <c r="B12" i="9"/>
  <c r="L56" i="9"/>
  <c r="L57" i="9" s="1"/>
  <c r="L67" i="9" s="1"/>
  <c r="L48" i="9" s="1"/>
  <c r="L3" i="9" s="1"/>
  <c r="B13" i="20" s="1"/>
  <c r="B10" i="30" s="1"/>
  <c r="H52" i="11"/>
  <c r="H56" i="11" s="1"/>
  <c r="H57" i="11" s="1"/>
  <c r="H3" i="11" s="1"/>
  <c r="B34" i="11"/>
  <c r="AG5" i="20"/>
  <c r="AE2" i="30" s="1"/>
  <c r="D70" i="9"/>
  <c r="D71" i="9" s="1"/>
  <c r="AM5" i="20" s="1"/>
  <c r="AK2" i="30" s="1"/>
  <c r="B6" i="11"/>
  <c r="D52" i="11"/>
  <c r="B4" i="11"/>
  <c r="D66" i="9"/>
  <c r="D65" i="9"/>
  <c r="D64" i="9"/>
  <c r="D63" i="9"/>
  <c r="AB7" i="30"/>
  <c r="AC7" i="30"/>
  <c r="S5" i="20"/>
  <c r="S2" i="30" s="1"/>
  <c r="E5" i="20"/>
  <c r="E2" i="30" s="1"/>
  <c r="AC3" i="30"/>
  <c r="AB3" i="30"/>
  <c r="W5" i="20"/>
  <c r="W2" i="30" s="1"/>
  <c r="AB5" i="20" l="1"/>
  <c r="AA2" i="30" s="1"/>
  <c r="J34" i="9"/>
  <c r="B5" i="11"/>
  <c r="J5" i="9" s="1"/>
  <c r="B5" i="9" s="1"/>
  <c r="J6" i="9"/>
  <c r="D52" i="9"/>
  <c r="J4" i="9"/>
  <c r="B4" i="9" s="1"/>
  <c r="D60" i="9"/>
  <c r="D56" i="11"/>
  <c r="D57" i="11" s="1"/>
  <c r="D3" i="11" s="1"/>
  <c r="C5" i="20"/>
  <c r="C2" i="30" s="1"/>
  <c r="AC6" i="30"/>
  <c r="AB6" i="30"/>
  <c r="AC5" i="30"/>
  <c r="AB5" i="30"/>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B11" i="20" s="1"/>
  <c r="B8" i="30" s="1"/>
  <c r="C11" i="20"/>
  <c r="C8" i="30" s="1"/>
  <c r="B52" i="9" l="1"/>
  <c r="D3" i="9"/>
  <c r="B48" i="9"/>
  <c r="B57" i="9"/>
  <c r="B5" i="20" l="1"/>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<sst xmlns="http://schemas.openxmlformats.org/spreadsheetml/2006/main" count="2852" uniqueCount="197">
  <si>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</si>
  <si>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</si>
  <si>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</si>
  <si>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</si>
  <si>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</si>
  <si>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</si>
  <si>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</si>
  <si>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</si>
  <si>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</si>
  <si>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</si>
  <si>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</si>
  <si>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</si>
  <si>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</si>
  <si>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</si>
  <si>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</si>
  <si>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</si>
  <si>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</si>
  <si>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</si>
  <si>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</si>
  <si>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</si>
  <si>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</si>
  <si>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</si>
  <si>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</si>
  <si>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</si>
  <si>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</si>
  <si>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</si>
  <si>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</si>
  <si>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</si>
  <si>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</si>
  <si>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</si>
  <si>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</si>
  <si>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</si>
  <si>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</si>
  <si>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</si>
  <si>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</si>
  <si>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</si>
  <si>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</si>
  <si>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</si>
  <si>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</si>
  <si>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</si>
  <si>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</si>
  <si>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</si>
  <si>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</si>
  <si>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</si>
  <si>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</si>
  <si>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</si>
  <si>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</si>
  <si>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</si>
  <si>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</si>
  <si>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</si>
  <si>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</si>
  <si>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</si>
  <si>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</si>
  <si>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</si>
  <si>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</si>
  <si>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</si>
  <si>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</si>
  <si>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</si>
  <si>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</si>
  <si>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</si>
  <si>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</si>
  <si>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</si>
  <si>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</si>
  <si>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</si>
  <si>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</si>
  <si>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</si>
  <si>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</si>
  <si>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</si>
  <si>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</si>
  <si>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</si>
  <si>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</si>
  <si>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</si>
  <si>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</si>
  <si>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</si>
  <si>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</si>
  <si>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</si>
  <si>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</si>
  <si>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</si>
  <si>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</si>
  <si>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BANKS</t>
  </si>
  <si>
    <t>CBA</t>
  </si>
  <si>
    <t>ING</t>
  </si>
  <si>
    <t>ANZ</t>
  </si>
  <si>
    <t>WESTPAC</t>
  </si>
  <si>
    <t>BANK 10</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</si>
  <si>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</si>
  <si>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</si>
  <si>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</si>
  <si>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</si>
  <si>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</si>
  <si>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</si>
  <si>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</si>
  <si>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</si>
  <si>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</si>
  <si>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</si>
  <si>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</si>
  <si>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</si>
  <si>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</si>
  <si>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</si>
  <si>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</si>
  <si>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</si>
  <si>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</si>
  <si>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</si>
  <si>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</si>
  <si>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</si>
  <si>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 OF CALLS WITH QUALITY DEDUCTIONS</t>
  </si>
  <si>
    <t>TOTAL CX TIME</t>
  </si>
  <si>
    <t>TOTAL ACCESS TIME</t>
  </si>
  <si>
    <t>records</t>
  </si>
  <si>
    <t>BANK AUSTRALIA</t>
  </si>
  <si>
    <t>NAB</t>
  </si>
  <si>
    <t>`</t>
  </si>
  <si>
    <t>WEBSITE EDUCATION</t>
  </si>
  <si>
    <t>COMPANY</t>
  </si>
  <si>
    <t>CALL ANSWERED-QUALITY</t>
  </si>
  <si>
    <t>OVERALL CX</t>
  </si>
  <si>
    <t>AGENT MASTERY</t>
  </si>
  <si>
    <t>BENDIGO BANK</t>
  </si>
  <si>
    <t>GREAT SOUTHERN BANK</t>
  </si>
  <si>
    <t>HUME BANK</t>
  </si>
  <si>
    <t>IMPACT</t>
  </si>
  <si>
    <t>CLARITY</t>
  </si>
  <si>
    <t>JULY 2025</t>
  </si>
  <si>
    <t>n</t>
  </si>
  <si>
    <t>y</t>
  </si>
  <si>
    <t>wait time</t>
  </si>
  <si>
    <t>Kay</t>
  </si>
  <si>
    <t>Hart</t>
  </si>
  <si>
    <t xml:space="preserve">referred straight to website to apply. Didn't acknowledge or empathise with caller saying it'd been decades since opening a bank account. Wasn't super confident with how to apply online initially - 'there used to be a button…' </t>
  </si>
  <si>
    <t>Rachel</t>
  </si>
  <si>
    <t>Warm bright manner. One good open question about needs but didn't ask why caller was switching. Detailed explanation of fees and features.</t>
  </si>
  <si>
    <t>Alex</t>
  </si>
  <si>
    <t>No needs discovery - just went into listing options. Bit info dumpy, caller wasn't really involved in the call, though did check for sat after going through options. Didn't check for questions. Offered to help with applying for ANZ+. Audio glitch - operator couldn't hear caller for a while but not sure if it was an us thing or a them thing so didn't penalise.</t>
  </si>
  <si>
    <t>Daniel</t>
  </si>
  <si>
    <t>online assistant</t>
  </si>
  <si>
    <t>Put control back with the caller - 'what would you like to know about us'. Did ask some questions about account needs after this. Kept saying 'as well too' which annoyed me but can't really penalise him for that… Asked name halfway through. Gave a spiel about Bank Australia. Did check for questions, referred to website for more info. Explained how to apply, said they'd love to have the caller as a customer.</t>
  </si>
  <si>
    <t>Bronwyn</t>
  </si>
  <si>
    <t xml:space="preserve">Asked full name including any middle names in greeting, did use name up front to engage. Solution was to walk through website - no needs discovery or product info. Used the word 'customer-centric' to describe their website. Bright tone, good energy. </t>
  </si>
  <si>
    <t>Paige</t>
  </si>
  <si>
    <t xml:space="preserve">Good restate up front, along with a question to check where the caller was at in their research process and what they were looking for in an account. Good check for questions. </t>
  </si>
  <si>
    <t>Vas</t>
  </si>
  <si>
    <t>Warm and engaging greeting. Info was mostly just being read from website but clear and easy to follow. Checked if she wanted more info about anything. Bit of website education.</t>
  </si>
  <si>
    <t>Carl</t>
  </si>
  <si>
    <t>Restated up front, then bridged - no statement of intent though. Didn't ask name. Asked a couple of questions about the caller prefers to do their banking. Engaged later in the conversation - asked the caller where they were travelling, and said he'd been to the state over from where she was going. Warm, engaging, well structured.</t>
  </si>
  <si>
    <t>Ravi</t>
  </si>
  <si>
    <t>Warm engaging manner, good restate to confirm before listing account options. No needs discovery. Gave an overview of options and explained application was online.</t>
  </si>
  <si>
    <t>Anna</t>
  </si>
  <si>
    <t>Transactional opening - asking for full name including any middle names. Did use it up front. Confirmed she wasn't an existing customer then referred to branch - advised the branch staff would help figure out which account is right, didn't take the time to go through accounts on the call.</t>
  </si>
  <si>
    <t>Ari</t>
  </si>
  <si>
    <t>Didn't seem to be listening that well, needed to do more needs discovery, first option wasn't relevant to her situation. Listed a bunch of rates, wasn't that helpful.</t>
  </si>
  <si>
    <t>Will</t>
  </si>
  <si>
    <t>Natural warm manner. Came across as very welcoming but also didn't give the caller much time to finish speaking - could have given more space. Well structured call, good checks for questions.</t>
  </si>
  <si>
    <t>Restate to confirm up front but no further needs questions. Could have asked more about their situation and broader banking needs. Info was clear with good checks for questions.</t>
  </si>
  <si>
    <t>Scott</t>
  </si>
  <si>
    <t>Referred to website, also advised they could open them over the phone now if caller wanted. More focussed on how to open than what was available - caller asked questions to understand this, bit of self servicing going on.</t>
  </si>
  <si>
    <t>Tiffany</t>
  </si>
  <si>
    <t>Bright natural manner, good use of name up front when the caller gave it. Opportunity to acknowledge the caller's reason for saving, and use that info to find out more about what's important to her in an account and how she'd like to use it. Info given was clear but high level - could havedone some more needs discovery to find out what the caller needed to know so more detail could be given.</t>
  </si>
  <si>
    <t>Unclear</t>
  </si>
  <si>
    <t>Good restate, but no further needs discovery.Referred to website for her to guide the caller through where to find info before giving an explanation. Bit of a verbal brochure  including term deposits which weren't relevant. Offered to open on the phone.</t>
  </si>
  <si>
    <t>Pam?</t>
  </si>
  <si>
    <t>Didn't acknowledge caller's situation - she gave her emotional need, no acknowledgement. Awkard - might have been new? Sounded uncertain in places. Bit info dumpy.</t>
  </si>
  <si>
    <t>Marina</t>
  </si>
  <si>
    <t>Very transactional in style. Didn't laugh at caller's jokes. Good needs questions around features and how they'd want to use it.</t>
  </si>
  <si>
    <t>Chloe</t>
  </si>
  <si>
    <t>Didn't brand company in greeting. Asked if caller wanted a term deposit or savings - caller didn't know what the difference was so then went into a verbal brochure with a lot of irrelevant info. Didn't actually explain how to apply.</t>
  </si>
  <si>
    <t>Customer-centric website lady - solution again was to walk through the website. Did give fee info as part of the 'just have to read this scripting'. Explained how to apply. Pace was very fast. Didn't pick up on caller's hesitation.</t>
  </si>
  <si>
    <t>Bobur</t>
  </si>
  <si>
    <t>I'll just give you all the options'. Verbal brochure style. Confusing. Referred to website for more info.</t>
  </si>
  <si>
    <t>Bright friendly manner, clear info. Could have asked some questions up front to understand what the caller was after. Did get a bit stuck in her spiel so caller had to interrupt to have more of a conversation. Gave 'questions' y in the close as caller took the need to ask.</t>
  </si>
  <si>
    <t>Fran</t>
  </si>
  <si>
    <t>Call opening was abrupt and less than ideal - thought caller was existing. Did get name but didn't use it throughout. Got much friendlier during call, referred to website and talked through options, gave advice around how to open. Referred to caller as 'darling' in the close. Ended call 'okay bye'.</t>
  </si>
  <si>
    <t>IVR malfunction</t>
  </si>
  <si>
    <t>Luna</t>
  </si>
  <si>
    <t>Good restate up front to confirm enquiry. Asked name a little later but still early enough. Well structured. Info was clear.</t>
  </si>
  <si>
    <t>Matthew</t>
  </si>
  <si>
    <t>Didn't brand company up front. Straight into listing options. Was a bit awkward with caller's attempts to engage. Referred to website for more info.</t>
  </si>
  <si>
    <t>Arbetha/ Rachel</t>
  </si>
  <si>
    <t>Advised she would identify them then transfer to someone who could help. Found out caller wasn't existing, said she could go to the branch to open one or transfer for info. Transferred call - seemed to take a while for her to figure out how to do that. No hold music. Warm transfer. Assessment on second operator. Second operator bright friendly tone. Only question was to find out whether the caller had existing accounts, then into list of options. Good website education for further info.</t>
  </si>
  <si>
    <t>Maria</t>
  </si>
  <si>
    <t>Greeting a bit flat but had all the elements. Started with 'ok what would you like to know'. Awkward explanation about not being able to give financial advice. 'I'm not physically allowed to…' . Could have done that way better. Info dump after that. Talked about limitations more than benefits. Website education for more info. Did check for questions.</t>
  </si>
  <si>
    <t>Addie</t>
  </si>
  <si>
    <t xml:space="preserve">Friendly greeting, got name and used it. No needs discovery - didn't acknowledge caller's emotional need she offered. Straight into giving account info on a couple of options, one of which wouldn't have worked (term deposit). Caller then proactively had to say how she wanted to use the account to get correct info. Explained how to apply online. Loooooong awkward silence. </t>
  </si>
  <si>
    <t>Brad</t>
  </si>
  <si>
    <t>Restated up front, good confirmation of assistance. Rather than asking 'what did you say your name was' when she hadn't, just ask what her name was. No needs discovery - could have asked how the caller wanted to use the account. Started by explaining the account with lower interest, when caller had already said she wanted to save as much as she could - maybe check if she'd be okay with conditions then go with the higher one first. Also mentioned term deposits - not relevant for this caller. Explained how to apply online.</t>
  </si>
  <si>
    <t>Bella</t>
  </si>
  <si>
    <t xml:space="preserve">Didn't brand company up front. Asked what the caller was looking for in an account. Rest of the questions were confusing - 'are you looking to meet any criteria' after caller had just said she's never had an account like this so needed all the help she could get. Not tailored to where the caller was at. Confusing. </t>
  </si>
  <si>
    <t>Megan</t>
  </si>
  <si>
    <t>Asked name in greeting, used it up front. Restated up front. Checked where caller was at in their process - if they'd looked onilne. Confusing process - onboard as a customer, then talk about options. Caller said they wanted to hear options first but went ahead with onboarding. Long silence after getting date of birth, not clear what she was doing. Made it clear she was reading info from the website. Read out rates and some options. Crap experience.</t>
  </si>
  <si>
    <t xml:space="preserve">No how can I help in greeting. Said 'just to confirm' a lot. Asked reason for refinance. Asked name later in conversation. Started with situation, then went into prequal questions. Advised he'd put her on a 'brief hold' of 7-8 minutes while looking at options. Wasn't quite that long. </t>
  </si>
  <si>
    <t>Jiah/ Sasha</t>
  </si>
  <si>
    <t xml:space="preserve">First operator said he'd take details and transfer through to a lender to answer questions. Bit transactional feeling. Said 'perfect' after detail the caller provided which got annoying. Managed expectations around hold/transfer process well. Warm transfer, second operator used name up front. Straight into asking prequal questions, no situational or needs questions. </t>
  </si>
  <si>
    <t>Unclear/ Agnes/Daniel</t>
  </si>
  <si>
    <t xml:space="preserve">Jumped stright into explaining how to refinance away from CBA. Transferred to lending team without waiting for caller's ok. Transactional process. Took a bunch of personal details to transfer to a third person, who went through much of the same stuff. Third operator restated, confirmed much of the info she'd already given, gave rough overview. Offered to send an email with his details. </t>
  </si>
  <si>
    <t xml:space="preserve">Advised it'd be best to speak with a lender, could book an appointment. Also referred to website for offers. Asked if she wanted an offset, mentioned one product based on that. No needs discovery about why the caller was looking at refinancing, where they were at in their process, what was important to them. </t>
  </si>
  <si>
    <t>Unclear/Lynne/Nicole</t>
  </si>
  <si>
    <t xml:space="preserve">First operator said there was a team for that, transferred. Second operator restated and advised she could collect info and transfer to home loan specialist to get the interest rate. Questions were all about current loan and property, nothing about needs or situation until later - did ask reason for switching then. Transferred - on hold for almost 5 minutes. Warm transfer. Third operator bright warm manner, restated again. Asked more questions about current loan and financial situation. Gave an overview how it might work with nab. </t>
  </si>
  <si>
    <t xml:space="preserve">Bright energy, well structured. Did talk over the caller a few times as she was sticking to her structure and not giving the caller enough time to think and speak, though it sounded very natural how she was running through her process. Did get pretty  info dumpy when running through product features. Good check for understanding. Called caller 'darling' - never asked her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</si>
</sst>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6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
      <patternFill patternType="solid">
        <fgColor theme="7" tint="0.39997558519241921"/>
        <bgColor indexed="64"/>
      </patternFill>
    </fill>
  </fills>
  <borders count="99">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s>
  <cellStyleXfs count="3">
    <xf numFmtId="0" fontId="0" fillId="0" borderId="0"/>
    <xf numFmtId="9" fontId="14" fillId="0" borderId="0" applyFont="0" applyFill="0" applyBorder="0" applyAlignment="0" applyProtection="0"/>
    <xf numFmtId="0" fontId="41" fillId="0" borderId="0"/>
  </cellStyleXfs>
  <cellXfs count="388">
    <xf numFmtId="0" fontId="0" fillId="0" borderId="0" xfId="0"/>
    <xf numFmtId="9" fontId="19" fillId="3" borderId="1" xfId="0" applyNumberFormat="1" applyFont="1" applyFill="1" applyBorder="1" applyAlignment="1">
      <alignment horizontal="center" vertical="center"/>
    </xf>
    <xf numFmtId="0" fontId="20" fillId="4" borderId="0" xfId="0" applyFont="1" applyFill="1" applyAlignment="1">
      <alignment horizontal="right" vertical="center"/>
    </xf>
    <xf numFmtId="9" fontId="0" fillId="2" borderId="2" xfId="1" applyFont="1" applyFill="1" applyBorder="1" applyAlignment="1">
      <alignment horizontal="center" vertical="center"/>
    </xf>
    <xf numFmtId="0" fontId="18" fillId="0" borderId="0" xfId="0" applyFont="1"/>
    <xf numFmtId="0" fontId="22" fillId="4" borderId="0" xfId="0" applyFont="1" applyFill="1" applyAlignment="1">
      <alignment horizontal="right" vertical="center"/>
    </xf>
    <xf numFmtId="9" fontId="0" fillId="2" borderId="0" xfId="1" applyFont="1" applyFill="1" applyBorder="1" applyAlignment="1">
      <alignment horizontal="center" vertical="center"/>
    </xf>
    <xf numFmtId="9" fontId="25" fillId="6" borderId="3" xfId="0" applyNumberFormat="1" applyFont="1" applyFill="1" applyBorder="1" applyAlignment="1">
      <alignment horizontal="center"/>
    </xf>
    <xf numFmtId="0" fontId="25" fillId="6" borderId="4" xfId="0" applyFont="1" applyFill="1" applyBorder="1" applyAlignment="1">
      <alignment horizontal="center"/>
    </xf>
    <xf numFmtId="0" fontId="25" fillId="6" borderId="5" xfId="0" applyFont="1" applyFill="1" applyBorder="1" applyAlignment="1">
      <alignment horizontal="center"/>
    </xf>
    <xf numFmtId="9" fontId="19" fillId="0" borderId="1" xfId="0" applyNumberFormat="1" applyFont="1" applyBorder="1" applyAlignment="1">
      <alignment horizontal="center" vertical="center"/>
    </xf>
    <xf numFmtId="0" fontId="28" fillId="12" borderId="3" xfId="0" applyFont="1" applyFill="1" applyBorder="1" applyAlignment="1">
      <alignment horizontal="center" vertical="center"/>
    </xf>
    <xf numFmtId="0" fontId="29" fillId="13" borderId="3" xfId="0" applyFont="1" applyFill="1" applyBorder="1" applyAlignment="1">
      <alignment horizontal="center" vertical="center"/>
    </xf>
    <xf numFmtId="0" fontId="28" fillId="7" borderId="4" xfId="0" applyFont="1" applyFill="1" applyBorder="1" applyAlignment="1">
      <alignment horizontal="center" vertical="center"/>
    </xf>
    <xf numFmtId="0" fontId="28" fillId="9" borderId="5" xfId="0" applyFont="1" applyFill="1" applyBorder="1" applyAlignment="1">
      <alignment horizontal="center" vertical="center"/>
    </xf>
    <xf numFmtId="0" fontId="28" fillId="5" borderId="5" xfId="0" applyFont="1" applyFill="1" applyBorder="1" applyAlignment="1">
      <alignment horizontal="center" vertical="center"/>
    </xf>
    <xf numFmtId="0" fontId="31" fillId="14" borderId="7" xfId="0" applyFont="1" applyFill="1" applyBorder="1" applyAlignment="1">
      <alignment horizontal="center"/>
    </xf>
    <xf numFmtId="0" fontId="27" fillId="14" borderId="0" xfId="0" applyFont="1" applyFill="1" applyAlignment="1">
      <alignment horizontal="right" vertical="center"/>
    </xf>
    <xf numFmtId="9" fontId="0" fillId="2" borderId="8" xfId="1" applyFont="1" applyFill="1" applyBorder="1" applyAlignment="1">
      <alignment horizontal="right" vertical="center"/>
    </xf>
    <xf numFmtId="0" fontId="30" fillId="15" borderId="0" xfId="0" applyFont="1" applyFill="1" applyAlignment="1">
      <alignment vertical="center"/>
    </xf>
    <xf numFmtId="0" fontId="32" fillId="16" borderId="0" xfId="0" applyFont="1" applyFill="1" applyAlignment="1">
      <alignment horizontal="right" vertical="center"/>
    </xf>
    <xf numFmtId="9" fontId="15" fillId="17" borderId="1" xfId="0"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0" fontId="33" fillId="14" borderId="6" xfId="0" applyFont="1" applyFill="1" applyBorder="1" applyAlignment="1">
      <alignment vertical="center"/>
    </xf>
    <xf numFmtId="9" fontId="35" fillId="11" borderId="1" xfId="0" applyNumberFormat="1" applyFont="1" applyFill="1" applyBorder="1" applyAlignment="1">
      <alignment horizontal="left" vertical="top" wrapText="1"/>
    </xf>
    <xf numFmtId="1" fontId="24" fillId="15" borderId="2" xfId="1" applyNumberFormat="1" applyFont="1" applyFill="1" applyBorder="1" applyAlignment="1">
      <alignment horizontal="center" vertical="center"/>
    </xf>
    <xf numFmtId="0" fontId="32" fillId="0" borderId="0" xfId="0" applyFont="1" applyAlignment="1">
      <alignment vertical="center"/>
    </xf>
    <xf numFmtId="1" fontId="18" fillId="3" borderId="2" xfId="1" applyNumberFormat="1" applyFont="1" applyFill="1" applyBorder="1" applyAlignment="1">
      <alignment horizontal="center" vertical="center"/>
    </xf>
    <xf numFmtId="1" fontId="21" fillId="3" borderId="0" xfId="0" applyNumberFormat="1" applyFont="1" applyFill="1" applyAlignment="1">
      <alignment horizontal="center" vertical="center"/>
    </xf>
    <xf numFmtId="9" fontId="34" fillId="18" borderId="1" xfId="0" applyNumberFormat="1" applyFont="1" applyFill="1" applyBorder="1" applyAlignment="1">
      <alignment horizontal="center" vertical="center"/>
    </xf>
    <xf numFmtId="9" fontId="34" fillId="18" borderId="1" xfId="1" applyFont="1" applyFill="1" applyBorder="1" applyAlignment="1">
      <alignment horizontal="center" vertical="center"/>
    </xf>
    <xf numFmtId="9" fontId="15" fillId="10" borderId="1" xfId="0" applyNumberFormat="1" applyFont="1" applyFill="1" applyBorder="1" applyAlignment="1">
      <alignment horizontal="center" vertical="center"/>
    </xf>
    <xf numFmtId="17" fontId="24" fillId="11" borderId="0" xfId="0" applyNumberFormat="1" applyFont="1" applyFill="1" applyAlignment="1">
      <alignment horizontal="center" vertical="center"/>
    </xf>
    <xf numFmtId="17" fontId="24" fillId="0" borderId="0" xfId="0" applyNumberFormat="1" applyFont="1" applyAlignment="1">
      <alignment horizontal="left" vertical="center"/>
    </xf>
    <xf numFmtId="9" fontId="0" fillId="3" borderId="8" xfId="1" applyFont="1" applyFill="1" applyBorder="1" applyAlignment="1">
      <alignment horizontal="right" vertical="center"/>
    </xf>
    <xf numFmtId="0" fontId="17" fillId="21" borderId="0" xfId="0" applyFont="1" applyFill="1" applyAlignment="1">
      <alignment horizontal="center" vertical="center"/>
    </xf>
    <xf numFmtId="0" fontId="32" fillId="20" borderId="11" xfId="0" applyFont="1" applyFill="1" applyBorder="1" applyAlignment="1">
      <alignment horizontal="right" vertical="center"/>
    </xf>
    <xf numFmtId="164" fontId="15" fillId="17" borderId="1" xfId="0" applyNumberFormat="1" applyFont="1" applyFill="1" applyBorder="1" applyAlignment="1">
      <alignment horizontal="center" vertical="center"/>
    </xf>
    <xf numFmtId="164" fontId="23"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8" fillId="5" borderId="0" xfId="0" applyFont="1" applyFill="1" applyAlignment="1">
      <alignment horizontal="right" vertical="center"/>
    </xf>
    <xf numFmtId="164" fontId="15" fillId="0" borderId="1" xfId="0" applyNumberFormat="1" applyFont="1" applyBorder="1" applyAlignment="1">
      <alignment horizontal="center" vertical="center"/>
    </xf>
    <xf numFmtId="9" fontId="15"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7" fillId="0" borderId="0" xfId="0" applyFont="1" applyAlignment="1">
      <alignment horizontal="center" vertical="center"/>
    </xf>
    <xf numFmtId="1" fontId="36" fillId="0" borderId="2" xfId="1" applyNumberFormat="1" applyFont="1" applyFill="1" applyBorder="1" applyAlignment="1">
      <alignment horizontal="center" vertical="center"/>
    </xf>
    <xf numFmtId="9" fontId="13" fillId="2" borderId="2" xfId="1" applyFont="1" applyFill="1" applyBorder="1" applyAlignment="1">
      <alignment horizontal="center" vertical="center"/>
    </xf>
    <xf numFmtId="0" fontId="0" fillId="0" borderId="0" xfId="0" applyAlignment="1">
      <alignment horizontal="center"/>
    </xf>
    <xf numFmtId="164" fontId="35" fillId="0" borderId="0" xfId="1" applyNumberFormat="1" applyFont="1" applyAlignment="1">
      <alignment horizontal="center" vertical="center"/>
    </xf>
    <xf numFmtId="0" fontId="27" fillId="14" borderId="12" xfId="0" applyFont="1" applyFill="1" applyBorder="1" applyAlignment="1">
      <alignment horizontal="center" vertical="center"/>
    </xf>
    <xf numFmtId="164" fontId="39" fillId="0" borderId="13" xfId="0" applyNumberFormat="1" applyFont="1" applyBorder="1" applyAlignment="1">
      <alignment horizontal="center" vertical="center"/>
    </xf>
    <xf numFmtId="164" fontId="15" fillId="15" borderId="14" xfId="0" applyNumberFormat="1" applyFont="1" applyFill="1" applyBorder="1" applyAlignment="1">
      <alignment horizontal="center" vertical="center"/>
    </xf>
    <xf numFmtId="164" fontId="15" fillId="18" borderId="15" xfId="0" applyNumberFormat="1" applyFont="1" applyFill="1" applyBorder="1" applyAlignment="1">
      <alignment horizontal="center" vertical="center"/>
    </xf>
    <xf numFmtId="164" fontId="15" fillId="15" borderId="16" xfId="0" applyNumberFormat="1" applyFont="1" applyFill="1" applyBorder="1" applyAlignment="1">
      <alignment horizontal="center" vertical="center"/>
    </xf>
    <xf numFmtId="164" fontId="15" fillId="18" borderId="17" xfId="0" applyNumberFormat="1" applyFont="1" applyFill="1" applyBorder="1" applyAlignment="1">
      <alignment horizontal="center" vertical="center"/>
    </xf>
    <xf numFmtId="9" fontId="14" fillId="11" borderId="18" xfId="1" applyFont="1" applyFill="1" applyBorder="1" applyAlignment="1">
      <alignment horizontal="right" vertical="center"/>
    </xf>
    <xf numFmtId="164" fontId="35" fillId="11" borderId="2" xfId="1" applyNumberFormat="1" applyFont="1" applyFill="1" applyBorder="1" applyAlignment="1">
      <alignment horizontal="center" vertical="center"/>
    </xf>
    <xf numFmtId="0" fontId="35" fillId="0" borderId="0" xfId="0" applyFont="1" applyAlignment="1">
      <alignment horizontal="right"/>
    </xf>
    <xf numFmtId="164" fontId="35" fillId="11" borderId="0" xfId="1" applyNumberFormat="1" applyFont="1" applyFill="1" applyAlignment="1">
      <alignment horizontal="center" vertical="center"/>
    </xf>
    <xf numFmtId="9" fontId="40" fillId="23" borderId="1" xfId="0" applyNumberFormat="1" applyFont="1" applyFill="1" applyBorder="1" applyAlignment="1">
      <alignment horizontal="center" vertical="center"/>
    </xf>
    <xf numFmtId="1" fontId="18" fillId="0" borderId="0" xfId="1" applyNumberFormat="1" applyFont="1" applyFill="1" applyBorder="1" applyAlignment="1">
      <alignment horizontal="center" vertical="center"/>
    </xf>
    <xf numFmtId="1" fontId="18" fillId="0" borderId="0" xfId="0" applyNumberFormat="1" applyFont="1" applyAlignment="1">
      <alignment horizontal="center" vertical="center"/>
    </xf>
    <xf numFmtId="0" fontId="42" fillId="2" borderId="0" xfId="2" applyFont="1" applyFill="1" applyAlignment="1">
      <alignment horizontal="center" wrapText="1"/>
    </xf>
    <xf numFmtId="0" fontId="42" fillId="2" borderId="0" xfId="2" applyFont="1" applyFill="1" applyAlignment="1">
      <alignment wrapText="1"/>
    </xf>
    <xf numFmtId="0" fontId="43" fillId="25" borderId="21" xfId="2" applyFont="1" applyFill="1" applyBorder="1" applyAlignment="1">
      <alignment horizontal="center" vertical="center" wrapText="1"/>
    </xf>
    <xf numFmtId="0" fontId="44" fillId="25" borderId="0" xfId="2" applyFont="1" applyFill="1" applyAlignment="1">
      <alignment horizontal="center" vertical="center" wrapText="1"/>
    </xf>
    <xf numFmtId="49" fontId="45" fillId="3" borderId="24" xfId="1" applyNumberFormat="1" applyFont="1" applyFill="1" applyBorder="1" applyAlignment="1">
      <alignment horizontal="center" vertical="center" wrapText="1"/>
    </xf>
    <xf numFmtId="49" fontId="45" fillId="25" borderId="25" xfId="1" applyNumberFormat="1" applyFont="1" applyFill="1" applyBorder="1" applyAlignment="1">
      <alignment horizontal="center" vertical="center" wrapText="1"/>
    </xf>
    <xf numFmtId="164" fontId="35" fillId="0" borderId="28" xfId="2" applyNumberFormat="1" applyFont="1" applyBorder="1" applyAlignment="1">
      <alignment horizontal="center" vertical="center"/>
    </xf>
    <xf numFmtId="164" fontId="35" fillId="0" borderId="29" xfId="2" applyNumberFormat="1" applyFont="1" applyBorder="1" applyAlignment="1">
      <alignment horizontal="center" vertical="center"/>
    </xf>
    <xf numFmtId="164" fontId="41" fillId="25" borderId="29" xfId="2" applyNumberFormat="1" applyFill="1" applyBorder="1" applyAlignment="1">
      <alignment wrapText="1"/>
    </xf>
    <xf numFmtId="164" fontId="41" fillId="25" borderId="29" xfId="2" applyNumberFormat="1" applyFill="1" applyBorder="1" applyAlignment="1">
      <alignment horizontal="center" wrapText="1"/>
    </xf>
    <xf numFmtId="0" fontId="41" fillId="0" borderId="0" xfId="2" applyAlignment="1">
      <alignment horizontal="center" wrapText="1"/>
    </xf>
    <xf numFmtId="0" fontId="41" fillId="0" borderId="0" xfId="2" applyAlignment="1">
      <alignment wrapText="1"/>
    </xf>
    <xf numFmtId="0" fontId="42" fillId="2" borderId="0" xfId="2" applyFont="1" applyFill="1"/>
    <xf numFmtId="0" fontId="41" fillId="0" borderId="0" xfId="2"/>
    <xf numFmtId="0" fontId="42" fillId="2" borderId="0" xfId="2" applyFont="1" applyFill="1" applyAlignment="1">
      <alignment horizontal="center" vertical="center" wrapText="1"/>
    </xf>
    <xf numFmtId="0" fontId="41" fillId="0" borderId="0" xfId="2" applyAlignment="1">
      <alignment horizontal="center" vertical="center" wrapText="1"/>
    </xf>
    <xf numFmtId="0" fontId="35" fillId="2" borderId="0" xfId="2" applyFont="1" applyFill="1" applyAlignment="1">
      <alignment horizontal="center" wrapText="1"/>
    </xf>
    <xf numFmtId="164" fontId="41" fillId="0" borderId="28" xfId="2" applyNumberFormat="1" applyBorder="1" applyAlignment="1">
      <alignment horizontal="center" vertical="center" wrapText="1"/>
    </xf>
    <xf numFmtId="164" fontId="41" fillId="0" borderId="29" xfId="2" applyNumberFormat="1" applyBorder="1" applyAlignment="1">
      <alignment horizontal="center" vertical="center" wrapText="1"/>
    </xf>
    <xf numFmtId="164" fontId="41" fillId="0" borderId="30" xfId="2" applyNumberFormat="1" applyBorder="1" applyAlignment="1">
      <alignment horizontal="center" vertical="center" wrapText="1"/>
    </xf>
    <xf numFmtId="164" fontId="32" fillId="0" borderId="29" xfId="2" applyNumberFormat="1" applyFont="1" applyBorder="1" applyAlignment="1">
      <alignment horizontal="center" vertical="center" wrapText="1"/>
    </xf>
    <xf numFmtId="165" fontId="41"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7" fillId="26" borderId="0" xfId="0" applyFont="1" applyFill="1" applyAlignment="1">
      <alignment horizontal="center" vertical="center"/>
    </xf>
    <xf numFmtId="0" fontId="49" fillId="27" borderId="41" xfId="0" applyFont="1" applyFill="1" applyBorder="1" applyAlignment="1">
      <alignment vertical="center"/>
    </xf>
    <xf numFmtId="164" fontId="24" fillId="27" borderId="41" xfId="0" applyNumberFormat="1" applyFont="1" applyFill="1" applyBorder="1" applyAlignment="1">
      <alignment horizontal="center" vertical="center"/>
    </xf>
    <xf numFmtId="0" fontId="35" fillId="0" borderId="0" xfId="0" applyFont="1" applyAlignment="1">
      <alignment horizontal="center" vertical="center"/>
    </xf>
    <xf numFmtId="0" fontId="15" fillId="15" borderId="41" xfId="0" applyFont="1" applyFill="1" applyBorder="1" applyAlignment="1">
      <alignment horizontal="right" vertical="center"/>
    </xf>
    <xf numFmtId="164" fontId="15" fillId="15" borderId="41" xfId="1" applyNumberFormat="1" applyFont="1" applyFill="1" applyBorder="1" applyAlignment="1">
      <alignment horizontal="center" vertical="center"/>
    </xf>
    <xf numFmtId="9" fontId="35" fillId="31" borderId="41" xfId="0" applyNumberFormat="1" applyFont="1" applyFill="1" applyBorder="1" applyAlignment="1">
      <alignment horizontal="center" vertical="center"/>
    </xf>
    <xf numFmtId="164" fontId="15" fillId="3" borderId="41" xfId="0" applyNumberFormat="1" applyFont="1" applyFill="1" applyBorder="1" applyAlignment="1">
      <alignment horizontal="center"/>
    </xf>
    <xf numFmtId="0" fontId="38" fillId="14" borderId="41" xfId="0" applyFont="1" applyFill="1" applyBorder="1" applyAlignment="1">
      <alignment horizontal="right" vertical="center"/>
    </xf>
    <xf numFmtId="164" fontId="38" fillId="14" borderId="41" xfId="1" applyNumberFormat="1" applyFont="1" applyFill="1" applyBorder="1" applyAlignment="1">
      <alignment horizontal="center" vertical="center"/>
    </xf>
    <xf numFmtId="164" fontId="15" fillId="15" borderId="41" xfId="0" applyNumberFormat="1" applyFont="1" applyFill="1" applyBorder="1" applyAlignment="1">
      <alignment horizontal="center"/>
    </xf>
    <xf numFmtId="164" fontId="38"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5" fillId="31" borderId="41" xfId="0" applyFont="1" applyFill="1" applyBorder="1" applyAlignment="1">
      <alignment horizontal="right"/>
    </xf>
    <xf numFmtId="164" fontId="14"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5" fillId="32" borderId="41" xfId="0" applyNumberFormat="1" applyFont="1" applyFill="1" applyBorder="1" applyAlignment="1">
      <alignment horizontal="right"/>
    </xf>
    <xf numFmtId="9" fontId="0" fillId="10" borderId="41" xfId="1" applyFont="1" applyFill="1" applyBorder="1" applyAlignment="1">
      <alignment horizontal="center"/>
    </xf>
    <xf numFmtId="164" fontId="35" fillId="0" borderId="41" xfId="0" applyNumberFormat="1" applyFont="1" applyBorder="1" applyAlignment="1">
      <alignment horizontal="center" vertical="center"/>
    </xf>
    <xf numFmtId="9" fontId="47" fillId="26" borderId="2" xfId="1" applyFont="1" applyFill="1" applyBorder="1" applyAlignment="1">
      <alignment horizontal="center" vertical="center"/>
    </xf>
    <xf numFmtId="164" fontId="47" fillId="26" borderId="2" xfId="1" applyNumberFormat="1" applyFont="1" applyFill="1" applyBorder="1" applyAlignment="1">
      <alignment horizontal="center" vertical="center"/>
    </xf>
    <xf numFmtId="0" fontId="50" fillId="26" borderId="0" xfId="0" applyFont="1" applyFill="1"/>
    <xf numFmtId="0" fontId="0" fillId="0" borderId="41" xfId="0" applyBorder="1"/>
    <xf numFmtId="9" fontId="35" fillId="0" borderId="41" xfId="0" applyNumberFormat="1" applyFont="1" applyBorder="1" applyAlignment="1">
      <alignment horizontal="center" vertical="center"/>
    </xf>
    <xf numFmtId="0" fontId="15" fillId="0" borderId="0" xfId="0" applyFont="1"/>
    <xf numFmtId="0" fontId="15" fillId="29" borderId="41" xfId="0" applyFont="1" applyFill="1" applyBorder="1"/>
    <xf numFmtId="164" fontId="15" fillId="29" borderId="41" xfId="0" applyNumberFormat="1" applyFont="1" applyFill="1" applyBorder="1" applyAlignment="1">
      <alignment horizontal="center"/>
    </xf>
    <xf numFmtId="0" fontId="44"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3" fillId="25" borderId="42" xfId="2" applyFont="1" applyFill="1" applyBorder="1" applyAlignment="1">
      <alignment horizontal="center" vertical="center" wrapText="1"/>
    </xf>
    <xf numFmtId="0" fontId="33" fillId="25" borderId="50" xfId="2" applyFont="1" applyFill="1" applyBorder="1" applyAlignment="1">
      <alignment horizontal="center" vertical="center" wrapText="1"/>
    </xf>
    <xf numFmtId="49" fontId="32" fillId="36" borderId="47" xfId="1" applyNumberFormat="1" applyFont="1" applyFill="1" applyBorder="1" applyAlignment="1">
      <alignment horizontal="center" vertical="center" wrapText="1"/>
    </xf>
    <xf numFmtId="49" fontId="45" fillId="36" borderId="24" xfId="1" applyNumberFormat="1" applyFont="1" applyFill="1" applyBorder="1" applyAlignment="1">
      <alignment horizontal="center" vertical="center" wrapText="1"/>
    </xf>
    <xf numFmtId="49" fontId="32" fillId="37" borderId="54" xfId="1" applyNumberFormat="1" applyFont="1" applyFill="1" applyBorder="1" applyAlignment="1">
      <alignment horizontal="center" vertical="center" wrapText="1"/>
    </xf>
    <xf numFmtId="49" fontId="45" fillId="37" borderId="47" xfId="1" applyNumberFormat="1" applyFont="1" applyFill="1" applyBorder="1" applyAlignment="1">
      <alignment horizontal="center" vertical="center" wrapText="1"/>
    </xf>
    <xf numFmtId="49" fontId="45" fillId="37" borderId="24" xfId="1" applyNumberFormat="1" applyFont="1" applyFill="1" applyBorder="1" applyAlignment="1">
      <alignment horizontal="center" vertical="center" wrapText="1"/>
    </xf>
    <xf numFmtId="49" fontId="45" fillId="37" borderId="26" xfId="1" applyNumberFormat="1" applyFont="1" applyFill="1" applyBorder="1" applyAlignment="1">
      <alignment horizontal="center" vertical="center" wrapText="1"/>
    </xf>
    <xf numFmtId="49" fontId="32" fillId="38" borderId="46" xfId="1" applyNumberFormat="1" applyFont="1" applyFill="1" applyBorder="1" applyAlignment="1">
      <alignment horizontal="center" vertical="center" wrapText="1"/>
    </xf>
    <xf numFmtId="49" fontId="45" fillId="38" borderId="24" xfId="1" applyNumberFormat="1" applyFont="1" applyFill="1" applyBorder="1" applyAlignment="1">
      <alignment horizontal="center" vertical="center" wrapText="1"/>
    </xf>
    <xf numFmtId="49" fontId="45" fillId="38" borderId="26" xfId="1" applyNumberFormat="1" applyFont="1" applyFill="1" applyBorder="1" applyAlignment="1">
      <alignment horizontal="center" vertical="center" wrapText="1"/>
    </xf>
    <xf numFmtId="49" fontId="32" fillId="24" borderId="54" xfId="1" applyNumberFormat="1" applyFont="1" applyFill="1" applyBorder="1" applyAlignment="1">
      <alignment horizontal="center" vertical="center" wrapText="1"/>
    </xf>
    <xf numFmtId="49" fontId="45" fillId="3" borderId="47" xfId="1" applyNumberFormat="1" applyFont="1" applyFill="1" applyBorder="1" applyAlignment="1">
      <alignment horizontal="center" vertical="center" wrapText="1"/>
    </xf>
    <xf numFmtId="49" fontId="32" fillId="39" borderId="54" xfId="1" applyNumberFormat="1" applyFont="1" applyFill="1" applyBorder="1" applyAlignment="1">
      <alignment horizontal="center" vertical="center" wrapText="1"/>
    </xf>
    <xf numFmtId="49" fontId="45" fillId="39" borderId="47" xfId="1" applyNumberFormat="1" applyFont="1" applyFill="1" applyBorder="1" applyAlignment="1">
      <alignment horizontal="center" vertical="center" wrapText="1"/>
    </xf>
    <xf numFmtId="49" fontId="45" fillId="39" borderId="24" xfId="1" applyNumberFormat="1" applyFont="1" applyFill="1" applyBorder="1" applyAlignment="1">
      <alignment horizontal="center" vertical="center" wrapText="1"/>
    </xf>
    <xf numFmtId="49" fontId="45" fillId="39" borderId="25" xfId="1" applyNumberFormat="1" applyFont="1" applyFill="1" applyBorder="1" applyAlignment="1">
      <alignment horizontal="center" vertical="center" wrapText="1"/>
    </xf>
    <xf numFmtId="9" fontId="51" fillId="35" borderId="25" xfId="1" applyFont="1" applyFill="1" applyBorder="1" applyAlignment="1">
      <alignment horizontal="center" vertical="center" wrapText="1"/>
    </xf>
    <xf numFmtId="9" fontId="35" fillId="25" borderId="55" xfId="1" applyFont="1" applyFill="1" applyBorder="1" applyAlignment="1">
      <alignment horizontal="center" vertical="center" wrapText="1"/>
    </xf>
    <xf numFmtId="49" fontId="38" fillId="25" borderId="56" xfId="1" applyNumberFormat="1" applyFont="1" applyFill="1" applyBorder="1" applyAlignment="1">
      <alignment horizontal="center" vertical="center" wrapText="1"/>
    </xf>
    <xf numFmtId="49" fontId="42" fillId="25" borderId="57" xfId="1" applyNumberFormat="1" applyFont="1" applyFill="1" applyBorder="1" applyAlignment="1">
      <alignment horizontal="center" vertical="center" wrapText="1"/>
    </xf>
    <xf numFmtId="164" fontId="30" fillId="29" borderId="58" xfId="2" applyNumberFormat="1" applyFont="1" applyFill="1" applyBorder="1" applyAlignment="1">
      <alignment horizontal="center" vertical="center"/>
    </xf>
    <xf numFmtId="164" fontId="24" fillId="0" borderId="27" xfId="1" applyNumberFormat="1" applyFont="1" applyFill="1" applyBorder="1" applyAlignment="1">
      <alignment horizontal="center" vertical="center"/>
    </xf>
    <xf numFmtId="164" fontId="15" fillId="36" borderId="59" xfId="2" applyNumberFormat="1" applyFont="1" applyFill="1" applyBorder="1" applyAlignment="1">
      <alignment horizontal="center" vertical="center"/>
    </xf>
    <xf numFmtId="164" fontId="32" fillId="37" borderId="27" xfId="2" applyNumberFormat="1" applyFont="1" applyFill="1" applyBorder="1" applyAlignment="1">
      <alignment horizontal="center" vertical="center" wrapText="1"/>
    </xf>
    <xf numFmtId="164" fontId="41" fillId="0" borderId="60" xfId="2" applyNumberFormat="1" applyBorder="1" applyAlignment="1">
      <alignment horizontal="center" vertical="center" wrapText="1"/>
    </xf>
    <xf numFmtId="164" fontId="32" fillId="38" borderId="27" xfId="2" applyNumberFormat="1" applyFont="1" applyFill="1" applyBorder="1" applyAlignment="1">
      <alignment horizontal="center" vertical="center" wrapText="1"/>
    </xf>
    <xf numFmtId="164" fontId="32" fillId="24" borderId="27" xfId="2" applyNumberFormat="1" applyFont="1" applyFill="1" applyBorder="1" applyAlignment="1">
      <alignment horizontal="center" vertical="center" wrapText="1"/>
    </xf>
    <xf numFmtId="164" fontId="41" fillId="0" borderId="61" xfId="2" applyNumberFormat="1" applyBorder="1" applyAlignment="1">
      <alignment horizontal="center" vertical="center" wrapText="1"/>
    </xf>
    <xf numFmtId="164" fontId="32" fillId="39" borderId="27" xfId="2" applyNumberFormat="1" applyFont="1" applyFill="1" applyBorder="1" applyAlignment="1">
      <alignment horizontal="center" vertical="center" wrapText="1"/>
    </xf>
    <xf numFmtId="164" fontId="24" fillId="3" borderId="27" xfId="1" applyNumberFormat="1" applyFont="1" applyFill="1" applyBorder="1" applyAlignment="1">
      <alignment horizontal="center" vertical="center"/>
    </xf>
    <xf numFmtId="164" fontId="35" fillId="3" borderId="28" xfId="2" applyNumberFormat="1" applyFont="1" applyFill="1" applyBorder="1" applyAlignment="1">
      <alignment horizontal="center" vertical="center"/>
    </xf>
    <xf numFmtId="164" fontId="35" fillId="3" borderId="29" xfId="2" applyNumberFormat="1" applyFont="1" applyFill="1" applyBorder="1" applyAlignment="1">
      <alignment horizontal="center" vertical="center"/>
    </xf>
    <xf numFmtId="164" fontId="41" fillId="3" borderId="28" xfId="2" applyNumberFormat="1" applyFill="1" applyBorder="1" applyAlignment="1">
      <alignment horizontal="center" vertical="center" wrapText="1"/>
    </xf>
    <xf numFmtId="164" fontId="41" fillId="3" borderId="30" xfId="2" applyNumberFormat="1" applyFill="1" applyBorder="1" applyAlignment="1">
      <alignment horizontal="center" vertical="center" wrapText="1"/>
    </xf>
    <xf numFmtId="164" fontId="41" fillId="3" borderId="29" xfId="2" applyNumberFormat="1" applyFill="1" applyBorder="1" applyAlignment="1">
      <alignment horizontal="center" vertical="center" wrapText="1"/>
    </xf>
    <xf numFmtId="164" fontId="41" fillId="3" borderId="60" xfId="2" applyNumberFormat="1" applyFill="1" applyBorder="1" applyAlignment="1">
      <alignment horizontal="center" vertical="center" wrapText="1"/>
    </xf>
    <xf numFmtId="164" fontId="41" fillId="3" borderId="61" xfId="2" applyNumberFormat="1" applyFill="1" applyBorder="1" applyAlignment="1">
      <alignment horizontal="center" vertical="center" wrapText="1"/>
    </xf>
    <xf numFmtId="164" fontId="32" fillId="3" borderId="29" xfId="2" applyNumberFormat="1" applyFont="1" applyFill="1" applyBorder="1" applyAlignment="1">
      <alignment horizontal="center" vertical="center" wrapText="1"/>
    </xf>
    <xf numFmtId="165" fontId="41" fillId="3" borderId="29" xfId="2" applyNumberFormat="1" applyFill="1" applyBorder="1" applyAlignment="1">
      <alignment horizontal="center" vertical="center" wrapText="1"/>
    </xf>
    <xf numFmtId="164" fontId="30" fillId="29" borderId="23" xfId="2" applyNumberFormat="1" applyFont="1" applyFill="1" applyBorder="1" applyAlignment="1">
      <alignment horizontal="center" vertical="center"/>
    </xf>
    <xf numFmtId="164" fontId="15" fillId="36" borderId="62" xfId="2" applyNumberFormat="1" applyFont="1" applyFill="1" applyBorder="1" applyAlignment="1">
      <alignment horizontal="center" vertical="center"/>
    </xf>
    <xf numFmtId="164" fontId="35" fillId="3" borderId="9" xfId="2" applyNumberFormat="1" applyFont="1" applyFill="1" applyBorder="1" applyAlignment="1">
      <alignment horizontal="center" vertical="center"/>
    </xf>
    <xf numFmtId="164" fontId="35" fillId="3" borderId="63" xfId="2" applyNumberFormat="1" applyFont="1" applyFill="1" applyBorder="1" applyAlignment="1">
      <alignment horizontal="center" vertical="center"/>
    </xf>
    <xf numFmtId="164" fontId="41" fillId="3" borderId="9" xfId="2" applyNumberFormat="1" applyFill="1" applyBorder="1" applyAlignment="1">
      <alignment horizontal="center" vertical="center" wrapText="1"/>
    </xf>
    <xf numFmtId="164" fontId="41" fillId="3" borderId="1" xfId="2" applyNumberFormat="1" applyFill="1" applyBorder="1" applyAlignment="1">
      <alignment horizontal="center" vertical="center" wrapText="1"/>
    </xf>
    <xf numFmtId="0" fontId="52" fillId="0" borderId="40" xfId="0" applyFont="1" applyBorder="1" applyAlignment="1">
      <alignment horizontal="left" vertical="center"/>
    </xf>
    <xf numFmtId="164" fontId="30" fillId="29" borderId="40" xfId="2" applyNumberFormat="1" applyFont="1" applyFill="1" applyBorder="1" applyAlignment="1">
      <alignment horizontal="center" vertical="center"/>
    </xf>
    <xf numFmtId="164" fontId="52" fillId="27" borderId="64" xfId="2" applyNumberFormat="1" applyFont="1" applyFill="1" applyBorder="1" applyAlignment="1">
      <alignment horizontal="center" vertical="center" wrapText="1"/>
    </xf>
    <xf numFmtId="164" fontId="52" fillId="36" borderId="54" xfId="2" applyNumberFormat="1" applyFont="1" applyFill="1" applyBorder="1" applyAlignment="1">
      <alignment horizontal="center" vertical="center" wrapText="1"/>
    </xf>
    <xf numFmtId="164" fontId="52" fillId="29" borderId="65" xfId="2" applyNumberFormat="1" applyFont="1" applyFill="1" applyBorder="1" applyAlignment="1">
      <alignment horizontal="center" vertical="center" wrapText="1"/>
    </xf>
    <xf numFmtId="164" fontId="52" fillId="29" borderId="66" xfId="2" applyNumberFormat="1" applyFont="1" applyFill="1" applyBorder="1" applyAlignment="1">
      <alignment horizontal="center" vertical="center" wrapText="1"/>
    </xf>
    <xf numFmtId="164" fontId="52" fillId="29" borderId="67" xfId="2" applyNumberFormat="1" applyFont="1" applyFill="1" applyBorder="1" applyAlignment="1">
      <alignment horizontal="center" vertical="center" wrapText="1"/>
    </xf>
    <xf numFmtId="164" fontId="52" fillId="37" borderId="68" xfId="2" applyNumberFormat="1" applyFont="1" applyFill="1" applyBorder="1" applyAlignment="1">
      <alignment horizontal="center" vertical="center" wrapText="1"/>
    </xf>
    <xf numFmtId="164" fontId="52" fillId="29" borderId="69" xfId="2" applyNumberFormat="1" applyFont="1" applyFill="1" applyBorder="1" applyAlignment="1">
      <alignment horizontal="center" vertical="center" wrapText="1"/>
    </xf>
    <xf numFmtId="164" fontId="52" fillId="29" borderId="70" xfId="2" applyNumberFormat="1" applyFont="1" applyFill="1" applyBorder="1" applyAlignment="1">
      <alignment horizontal="center" vertical="center" wrapText="1"/>
    </xf>
    <xf numFmtId="164" fontId="52" fillId="29" borderId="71" xfId="2" applyNumberFormat="1" applyFont="1" applyFill="1" applyBorder="1" applyAlignment="1">
      <alignment horizontal="center" vertical="center" wrapText="1"/>
    </xf>
    <xf numFmtId="164" fontId="52" fillId="38" borderId="72" xfId="2" applyNumberFormat="1" applyFont="1" applyFill="1" applyBorder="1" applyAlignment="1">
      <alignment horizontal="center" vertical="center" wrapText="1"/>
    </xf>
    <xf numFmtId="164" fontId="52" fillId="24" borderId="68" xfId="2" applyNumberFormat="1" applyFont="1" applyFill="1" applyBorder="1" applyAlignment="1">
      <alignment horizontal="center" vertical="center" wrapText="1"/>
    </xf>
    <xf numFmtId="164" fontId="52" fillId="29" borderId="31" xfId="2" applyNumberFormat="1" applyFont="1" applyFill="1" applyBorder="1" applyAlignment="1">
      <alignment horizontal="center" vertical="center" wrapText="1"/>
    </xf>
    <xf numFmtId="164" fontId="52" fillId="29" borderId="32" xfId="2" applyNumberFormat="1" applyFont="1" applyFill="1" applyBorder="1" applyAlignment="1">
      <alignment horizontal="center" vertical="center" wrapText="1"/>
    </xf>
    <xf numFmtId="164" fontId="52" fillId="29" borderId="33" xfId="2" applyNumberFormat="1" applyFont="1" applyFill="1" applyBorder="1" applyAlignment="1">
      <alignment horizontal="center" vertical="center" wrapText="1"/>
    </xf>
    <xf numFmtId="164" fontId="52" fillId="39" borderId="68" xfId="2" applyNumberFormat="1" applyFont="1" applyFill="1" applyBorder="1" applyAlignment="1">
      <alignment horizontal="center" vertical="center" wrapText="1"/>
    </xf>
    <xf numFmtId="164" fontId="52" fillId="25" borderId="32" xfId="2" applyNumberFormat="1" applyFont="1" applyFill="1" applyBorder="1" applyAlignment="1">
      <alignment horizontal="center" vertical="center" wrapText="1"/>
    </xf>
    <xf numFmtId="165" fontId="52" fillId="29" borderId="32" xfId="2" applyNumberFormat="1" applyFont="1" applyFill="1" applyBorder="1" applyAlignment="1">
      <alignment horizontal="center" vertical="center" wrapText="1"/>
    </xf>
    <xf numFmtId="0" fontId="53" fillId="0" borderId="0" xfId="0" applyFont="1"/>
    <xf numFmtId="0" fontId="33" fillId="34" borderId="6" xfId="0" applyFont="1" applyFill="1" applyBorder="1" applyAlignment="1">
      <alignment vertical="center"/>
    </xf>
    <xf numFmtId="0" fontId="31" fillId="34" borderId="7" xfId="0" applyFont="1" applyFill="1" applyBorder="1" applyAlignment="1">
      <alignment horizontal="center"/>
    </xf>
    <xf numFmtId="0" fontId="54" fillId="34" borderId="0" xfId="0" applyFont="1" applyFill="1" applyAlignment="1">
      <alignment horizontal="center" vertical="center"/>
    </xf>
    <xf numFmtId="164" fontId="27" fillId="34" borderId="73" xfId="1" applyNumberFormat="1" applyFont="1" applyFill="1" applyBorder="1" applyAlignment="1">
      <alignment horizontal="center" vertical="center"/>
    </xf>
    <xf numFmtId="0" fontId="55" fillId="15" borderId="0" xfId="0" applyFont="1" applyFill="1" applyAlignment="1">
      <alignment vertical="center"/>
    </xf>
    <xf numFmtId="17" fontId="56"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3" fillId="26" borderId="19" xfId="0" applyNumberFormat="1" applyFont="1" applyFill="1" applyBorder="1" applyAlignment="1">
      <alignment horizontal="right" vertical="center"/>
    </xf>
    <xf numFmtId="164" fontId="57" fillId="26" borderId="20" xfId="0" applyNumberFormat="1" applyFont="1" applyFill="1" applyBorder="1" applyAlignment="1">
      <alignment horizontal="center" vertical="center"/>
    </xf>
    <xf numFmtId="17" fontId="43" fillId="0" borderId="20" xfId="0" applyNumberFormat="1" applyFont="1" applyBorder="1" applyAlignment="1">
      <alignment horizontal="center" vertical="center"/>
    </xf>
    <xf numFmtId="164" fontId="57" fillId="26" borderId="32" xfId="0" applyNumberFormat="1" applyFont="1" applyFill="1" applyBorder="1" applyAlignment="1">
      <alignment horizontal="center" vertical="center"/>
    </xf>
    <xf numFmtId="20" fontId="58" fillId="0" borderId="32" xfId="0" applyNumberFormat="1" applyFont="1" applyBorder="1" applyAlignment="1">
      <alignment horizontal="center"/>
    </xf>
    <xf numFmtId="20" fontId="58" fillId="0" borderId="34" xfId="0" applyNumberFormat="1" applyFont="1" applyBorder="1" applyAlignment="1">
      <alignment horizontal="center"/>
    </xf>
    <xf numFmtId="0" fontId="23" fillId="14" borderId="0" xfId="0" applyFont="1" applyFill="1" applyAlignment="1">
      <alignment horizontal="right" vertical="center"/>
    </xf>
    <xf numFmtId="164" fontId="30" fillId="0" borderId="0" xfId="0" applyNumberFormat="1" applyFont="1" applyAlignment="1">
      <alignment horizontal="center"/>
    </xf>
    <xf numFmtId="164" fontId="23" fillId="8" borderId="29" xfId="0" applyNumberFormat="1" applyFont="1" applyFill="1" applyBorder="1" applyAlignment="1">
      <alignment horizontal="center" vertical="center"/>
    </xf>
    <xf numFmtId="9" fontId="59" fillId="11" borderId="18" xfId="1" applyFont="1" applyFill="1" applyBorder="1" applyAlignment="1">
      <alignment horizontal="right" vertical="center"/>
    </xf>
    <xf numFmtId="164" fontId="59" fillId="11" borderId="2" xfId="1" applyNumberFormat="1" applyFont="1" applyFill="1" applyBorder="1" applyAlignment="1">
      <alignment horizontal="center" vertical="center"/>
    </xf>
    <xf numFmtId="9" fontId="59" fillId="0" borderId="0" xfId="1" applyFont="1" applyAlignment="1">
      <alignment horizontal="center"/>
    </xf>
    <xf numFmtId="164" fontId="59" fillId="11" borderId="41" xfId="1" applyNumberFormat="1" applyFont="1" applyFill="1" applyBorder="1" applyAlignment="1">
      <alignment horizontal="center" vertical="center"/>
    </xf>
    <xf numFmtId="164" fontId="15" fillId="3" borderId="41" xfId="0" applyNumberFormat="1" applyFont="1" applyFill="1" applyBorder="1" applyAlignment="1">
      <alignment horizontal="center" vertical="center"/>
    </xf>
    <xf numFmtId="1" fontId="18" fillId="21" borderId="18" xfId="1" applyNumberFormat="1" applyFont="1" applyFill="1" applyBorder="1" applyAlignment="1">
      <alignment horizontal="center" vertical="center"/>
    </xf>
    <xf numFmtId="9" fontId="13" fillId="2" borderId="41" xfId="1" applyFont="1" applyFill="1" applyBorder="1" applyAlignment="1">
      <alignment horizontal="center" vertical="center"/>
    </xf>
    <xf numFmtId="9" fontId="13" fillId="3" borderId="41" xfId="1" applyFont="1" applyFill="1" applyBorder="1" applyAlignment="1">
      <alignment horizontal="center" vertical="center"/>
    </xf>
    <xf numFmtId="1" fontId="21" fillId="0" borderId="41" xfId="0" applyNumberFormat="1" applyFont="1" applyBorder="1" applyAlignment="1">
      <alignment horizontal="center"/>
    </xf>
    <xf numFmtId="164" fontId="23" fillId="8" borderId="41" xfId="0" applyNumberFormat="1" applyFont="1" applyFill="1" applyBorder="1" applyAlignment="1">
      <alignment horizontal="center" vertical="center"/>
    </xf>
    <xf numFmtId="0" fontId="23" fillId="5" borderId="0" xfId="0" applyFont="1" applyFill="1" applyAlignment="1">
      <alignment horizontal="right" vertical="center"/>
    </xf>
    <xf numFmtId="9" fontId="60" fillId="3" borderId="1" xfId="0" applyNumberFormat="1" applyFont="1" applyFill="1" applyBorder="1" applyAlignment="1">
      <alignment horizontal="center" vertical="center"/>
    </xf>
    <xf numFmtId="9" fontId="30" fillId="22" borderId="41" xfId="0" applyNumberFormat="1" applyFont="1" applyFill="1" applyBorder="1" applyAlignment="1">
      <alignment horizontal="center" vertical="center"/>
    </xf>
    <xf numFmtId="0" fontId="49" fillId="0" borderId="0" xfId="0" applyFont="1"/>
    <xf numFmtId="0" fontId="49" fillId="0" borderId="0" xfId="0" applyFont="1" applyAlignment="1">
      <alignment horizontal="left" vertical="top"/>
    </xf>
    <xf numFmtId="9" fontId="18" fillId="21" borderId="18" xfId="1" applyFont="1" applyFill="1" applyBorder="1" applyAlignment="1">
      <alignment horizontal="center" vertical="center"/>
    </xf>
    <xf numFmtId="0" fontId="44" fillId="20" borderId="10" xfId="0" applyFont="1" applyFill="1" applyBorder="1" applyAlignment="1">
      <alignment horizontal="right" vertical="center"/>
    </xf>
    <xf numFmtId="9" fontId="15" fillId="10" borderId="41" xfId="0" applyNumberFormat="1" applyFont="1" applyFill="1" applyBorder="1" applyAlignment="1">
      <alignment horizontal="center" vertical="center"/>
    </xf>
    <xf numFmtId="1" fontId="18" fillId="2" borderId="18" xfId="1" applyNumberFormat="1" applyFont="1" applyFill="1" applyBorder="1" applyAlignment="1">
      <alignment horizontal="center" vertical="center"/>
    </xf>
    <xf numFmtId="1" fontId="18" fillId="0" borderId="18" xfId="1" applyNumberFormat="1" applyFont="1" applyFill="1" applyBorder="1" applyAlignment="1">
      <alignment horizontal="center" vertical="center"/>
    </xf>
    <xf numFmtId="20" fontId="13" fillId="0" borderId="41" xfId="1" applyNumberFormat="1" applyFont="1" applyFill="1" applyBorder="1" applyAlignment="1">
      <alignment horizontal="center" vertical="center"/>
    </xf>
    <xf numFmtId="165" fontId="13" fillId="3" borderId="41" xfId="1" applyNumberFormat="1" applyFont="1" applyFill="1" applyBorder="1" applyAlignment="1">
      <alignment horizontal="center" vertical="center"/>
    </xf>
    <xf numFmtId="9" fontId="13" fillId="0" borderId="41" xfId="1" applyFont="1" applyFill="1" applyBorder="1" applyAlignment="1">
      <alignment horizontal="center" vertical="center"/>
    </xf>
    <xf numFmtId="1" fontId="36" fillId="0" borderId="75" xfId="1" applyNumberFormat="1" applyFont="1" applyFill="1" applyBorder="1" applyAlignment="1">
      <alignment horizontal="center" vertical="center"/>
    </xf>
    <xf numFmtId="0" fontId="23" fillId="26" borderId="76" xfId="0" applyFont="1" applyFill="1" applyBorder="1" applyAlignment="1">
      <alignment vertical="center"/>
    </xf>
    <xf numFmtId="0" fontId="31" fillId="26" borderId="77" xfId="0" applyFont="1" applyFill="1" applyBorder="1" applyAlignment="1">
      <alignment horizontal="center"/>
    </xf>
    <xf numFmtId="164" fontId="27" fillId="26" borderId="78" xfId="1" applyNumberFormat="1" applyFont="1" applyFill="1" applyBorder="1" applyAlignment="1">
      <alignment horizontal="center" vertical="center"/>
    </xf>
    <xf numFmtId="164" fontId="27" fillId="26" borderId="41" xfId="0" applyNumberFormat="1" applyFont="1" applyFill="1" applyBorder="1" applyAlignment="1">
      <alignment horizontal="center" vertical="center"/>
    </xf>
    <xf numFmtId="0" fontId="17" fillId="0" borderId="41" xfId="0" applyFont="1" applyBorder="1" applyAlignment="1">
      <alignment horizontal="center" vertical="center"/>
    </xf>
    <xf numFmtId="17" fontId="24" fillId="0" borderId="41" xfId="0" applyNumberFormat="1" applyFont="1" applyBorder="1" applyAlignment="1">
      <alignment horizontal="left" vertical="center"/>
    </xf>
    <xf numFmtId="17" fontId="24" fillId="0" borderId="41" xfId="0" applyNumberFormat="1" applyFont="1" applyBorder="1" applyAlignment="1">
      <alignment horizontal="center" vertical="center"/>
    </xf>
    <xf numFmtId="17" fontId="16" fillId="0" borderId="41" xfId="0" applyNumberFormat="1" applyFont="1" applyBorder="1" applyAlignment="1">
      <alignment horizontal="center" vertical="center"/>
    </xf>
    <xf numFmtId="164" fontId="24" fillId="0" borderId="41" xfId="0" applyNumberFormat="1" applyFont="1" applyBorder="1" applyAlignment="1">
      <alignment horizontal="center" vertical="center"/>
    </xf>
    <xf numFmtId="0" fontId="35" fillId="0" borderId="41" xfId="0" applyFont="1" applyBorder="1" applyAlignment="1">
      <alignment horizontal="center" vertical="center"/>
    </xf>
    <xf numFmtId="164" fontId="14" fillId="0" borderId="41" xfId="1" applyNumberFormat="1" applyFont="1" applyFill="1" applyBorder="1" applyAlignment="1">
      <alignment horizontal="center" vertical="center"/>
    </xf>
    <xf numFmtId="9" fontId="14" fillId="0" borderId="41" xfId="1" applyFont="1" applyFill="1" applyBorder="1" applyAlignment="1">
      <alignment horizontal="right" vertical="center"/>
    </xf>
    <xf numFmtId="9" fontId="14" fillId="0" borderId="41" xfId="1" applyFont="1" applyFill="1" applyBorder="1" applyAlignment="1">
      <alignment horizontal="center"/>
    </xf>
    <xf numFmtId="0" fontId="15" fillId="0" borderId="41" xfId="0" applyFont="1" applyBorder="1" applyAlignment="1">
      <alignment horizontal="right"/>
    </xf>
    <xf numFmtId="0" fontId="19" fillId="0" borderId="41" xfId="0" applyFont="1" applyBorder="1" applyAlignment="1">
      <alignment horizontal="center" vertical="center"/>
    </xf>
    <xf numFmtId="164" fontId="24"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4" fillId="0" borderId="41" xfId="0" applyFont="1" applyBorder="1"/>
    <xf numFmtId="0" fontId="15" fillId="0" borderId="41" xfId="0" applyFont="1" applyBorder="1" applyAlignment="1">
      <alignment horizontal="center"/>
    </xf>
    <xf numFmtId="9" fontId="15" fillId="0" borderId="41" xfId="0" applyNumberFormat="1" applyFont="1" applyBorder="1" applyAlignment="1">
      <alignment horizontal="center"/>
    </xf>
    <xf numFmtId="0" fontId="45" fillId="32" borderId="41" xfId="0" applyFont="1" applyFill="1" applyBorder="1" applyAlignment="1">
      <alignment horizontal="right"/>
    </xf>
    <xf numFmtId="17" fontId="45" fillId="32" borderId="41" xfId="0" applyNumberFormat="1" applyFont="1" applyFill="1" applyBorder="1" applyAlignment="1">
      <alignment horizontal="right"/>
    </xf>
    <xf numFmtId="164" fontId="38" fillId="26" borderId="2" xfId="1" applyNumberFormat="1" applyFont="1" applyFill="1" applyBorder="1" applyAlignment="1">
      <alignment horizontal="center" vertical="center"/>
    </xf>
    <xf numFmtId="0" fontId="15" fillId="11" borderId="41" xfId="0" applyFont="1" applyFill="1" applyBorder="1"/>
    <xf numFmtId="164" fontId="15" fillId="31" borderId="41" xfId="0" applyNumberFormat="1" applyFont="1" applyFill="1" applyBorder="1" applyAlignment="1">
      <alignment horizontal="center"/>
    </xf>
    <xf numFmtId="164" fontId="52" fillId="25" borderId="33" xfId="2" applyNumberFormat="1" applyFont="1" applyFill="1" applyBorder="1" applyAlignment="1">
      <alignment horizontal="center" vertical="center" wrapText="1"/>
    </xf>
    <xf numFmtId="164" fontId="32" fillId="3" borderId="63" xfId="2" applyNumberFormat="1" applyFont="1" applyFill="1" applyBorder="1" applyAlignment="1">
      <alignment horizontal="center" vertical="center" wrapText="1"/>
    </xf>
    <xf numFmtId="165" fontId="41" fillId="3" borderId="63" xfId="2" applyNumberFormat="1" applyFill="1" applyBorder="1" applyAlignment="1">
      <alignment horizontal="center" vertical="center" wrapText="1"/>
    </xf>
    <xf numFmtId="164" fontId="41" fillId="3" borderId="63" xfId="2" applyNumberFormat="1" applyFill="1" applyBorder="1" applyAlignment="1">
      <alignment horizontal="center" vertical="center" wrapText="1"/>
    </xf>
    <xf numFmtId="164" fontId="52"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42" fillId="25" borderId="90" xfId="1" applyNumberFormat="1" applyFont="1" applyFill="1" applyBorder="1" applyAlignment="1">
      <alignment horizontal="center" vertical="center" wrapText="1"/>
    </xf>
    <xf numFmtId="164" fontId="15" fillId="0" borderId="41" xfId="0" applyNumberFormat="1" applyFont="1" applyBorder="1"/>
    <xf numFmtId="0" fontId="13" fillId="0" borderId="41" xfId="0" applyFont="1" applyBorder="1" applyAlignment="1">
      <alignment horizontal="center" vertical="center"/>
    </xf>
    <xf numFmtId="17" fontId="13" fillId="0" borderId="41" xfId="0" applyNumberFormat="1" applyFont="1" applyBorder="1" applyAlignment="1">
      <alignment horizontal="center" vertical="center"/>
    </xf>
    <xf numFmtId="9" fontId="20" fillId="4" borderId="93" xfId="0" applyNumberFormat="1" applyFont="1" applyFill="1" applyBorder="1" applyAlignment="1">
      <alignment horizontal="center" vertical="center"/>
    </xf>
    <xf numFmtId="9" fontId="20" fillId="4" borderId="94" xfId="0" applyNumberFormat="1" applyFont="1" applyFill="1" applyBorder="1" applyAlignment="1">
      <alignment horizontal="center" vertical="center"/>
    </xf>
    <xf numFmtId="9" fontId="20" fillId="4" borderId="95" xfId="0" applyNumberFormat="1" applyFont="1" applyFill="1" applyBorder="1" applyAlignment="1">
      <alignment horizontal="center" vertical="center"/>
    </xf>
    <xf numFmtId="9" fontId="20" fillId="4" borderId="96" xfId="0" applyNumberFormat="1" applyFont="1" applyFill="1" applyBorder="1" applyAlignment="1">
      <alignment horizontal="center" vertical="center"/>
    </xf>
    <xf numFmtId="1" fontId="12" fillId="2" borderId="2" xfId="1" applyNumberFormat="1" applyFont="1" applyFill="1" applyBorder="1" applyAlignment="1">
      <alignment horizontal="center" vertical="center"/>
    </xf>
    <xf numFmtId="9" fontId="14" fillId="3" borderId="41" xfId="1" applyFont="1" applyFill="1" applyBorder="1" applyAlignment="1">
      <alignment horizontal="center"/>
    </xf>
    <xf numFmtId="165" fontId="12" fillId="2" borderId="2" xfId="1" applyNumberFormat="1" applyFont="1" applyFill="1" applyBorder="1" applyAlignment="1">
      <alignment horizontal="center" vertical="center"/>
    </xf>
    <xf numFmtId="0" fontId="32" fillId="20" borderId="10" xfId="0" applyFont="1" applyFill="1" applyBorder="1" applyAlignment="1">
      <alignment vertical="center"/>
    </xf>
    <xf numFmtId="0" fontId="32" fillId="20" borderId="11" xfId="0" applyFont="1" applyFill="1" applyBorder="1" applyAlignment="1">
      <alignment vertical="center"/>
    </xf>
    <xf numFmtId="0" fontId="32" fillId="19" borderId="0" xfId="0" applyFont="1" applyFill="1" applyAlignment="1">
      <alignment vertical="center"/>
    </xf>
    <xf numFmtId="0" fontId="32" fillId="19" borderId="9" xfId="0" applyFont="1" applyFill="1" applyBorder="1" applyAlignment="1">
      <alignment vertical="center"/>
    </xf>
    <xf numFmtId="0" fontId="0" fillId="0" borderId="0" xfId="0" applyAlignment="1">
      <alignment vertical="center"/>
    </xf>
    <xf numFmtId="166" fontId="0" fillId="0" borderId="0" xfId="0" applyNumberFormat="1"/>
    <xf numFmtId="166" fontId="12" fillId="0" borderId="2" xfId="1" applyNumberFormat="1" applyFont="1" applyFill="1" applyBorder="1" applyAlignment="1">
      <alignment horizontal="center" vertical="center"/>
    </xf>
    <xf numFmtId="166" fontId="13" fillId="0" borderId="2" xfId="1" applyNumberFormat="1" applyFont="1" applyFill="1" applyBorder="1" applyAlignment="1">
      <alignment horizontal="center" vertical="center"/>
    </xf>
    <xf numFmtId="166" fontId="0" fillId="0" borderId="41" xfId="0" applyNumberFormat="1" applyBorder="1"/>
    <xf numFmtId="166" fontId="0" fillId="0" borderId="41" xfId="0" applyNumberFormat="1" applyBorder="1" applyAlignment="1">
      <alignment horizontal="center"/>
    </xf>
    <xf numFmtId="166" fontId="13" fillId="0" borderId="41" xfId="1" applyNumberFormat="1" applyFont="1" applyFill="1" applyBorder="1" applyAlignment="1">
      <alignment horizontal="center" vertical="center"/>
    </xf>
    <xf numFmtId="166" fontId="15" fillId="11" borderId="41" xfId="0" applyNumberFormat="1" applyFont="1" applyFill="1" applyBorder="1" applyAlignment="1">
      <alignment horizontal="center"/>
    </xf>
    <xf numFmtId="166" fontId="42" fillId="2" borderId="0" xfId="2" applyNumberFormat="1" applyFont="1" applyFill="1" applyAlignment="1">
      <alignment horizontal="center" wrapText="1"/>
    </xf>
    <xf numFmtId="166" fontId="34"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41" fillId="3" borderId="29" xfId="2" applyNumberFormat="1" applyFill="1" applyBorder="1" applyAlignment="1">
      <alignment horizontal="center" vertical="center" wrapText="1"/>
    </xf>
    <xf numFmtId="166" fontId="41" fillId="0" borderId="29" xfId="2" applyNumberFormat="1" applyBorder="1" applyAlignment="1">
      <alignment horizontal="center" vertical="center" wrapText="1"/>
    </xf>
    <xf numFmtId="166" fontId="41" fillId="3" borderId="63" xfId="2" applyNumberFormat="1" applyFill="1" applyBorder="1" applyAlignment="1">
      <alignment horizontal="center" vertical="center" wrapText="1"/>
    </xf>
    <xf numFmtId="166" fontId="52" fillId="29" borderId="34" xfId="2" applyNumberFormat="1" applyFont="1" applyFill="1" applyBorder="1" applyAlignment="1">
      <alignment horizontal="center" vertical="center" wrapText="1"/>
    </xf>
    <xf numFmtId="166" fontId="41" fillId="0" borderId="0" xfId="2" applyNumberFormat="1" applyAlignment="1">
      <alignment horizontal="center" wrapText="1"/>
    </xf>
    <xf numFmtId="166" fontId="38" fillId="25" borderId="56" xfId="1" applyNumberFormat="1" applyFont="1" applyFill="1" applyBorder="1" applyAlignment="1">
      <alignment horizontal="center" vertical="center" wrapText="1"/>
    </xf>
    <xf numFmtId="166" fontId="30" fillId="29" borderId="92" xfId="1" applyNumberFormat="1" applyFont="1" applyFill="1" applyBorder="1" applyAlignment="1">
      <alignment horizontal="center" vertical="center"/>
    </xf>
    <xf numFmtId="166" fontId="12" fillId="0" borderId="41" xfId="1" applyNumberFormat="1" applyFont="1" applyFill="1" applyBorder="1" applyAlignment="1">
      <alignment horizontal="center" vertical="center"/>
    </xf>
    <xf numFmtId="49" fontId="0" fillId="3" borderId="97" xfId="1" applyNumberFormat="1" applyFont="1" applyFill="1" applyBorder="1" applyAlignment="1">
      <alignment horizontal="right" vertical="center"/>
    </xf>
    <xf numFmtId="1" fontId="18" fillId="0" borderId="98" xfId="1" applyNumberFormat="1" applyFont="1" applyFill="1" applyBorder="1" applyAlignment="1">
      <alignment horizontal="center" vertical="center"/>
    </xf>
    <xf numFmtId="45" fontId="0" fillId="2" borderId="2" xfId="1" applyNumberFormat="1" applyFont="1" applyFill="1" applyBorder="1" applyAlignment="1">
      <alignment horizontal="center" vertical="center"/>
    </xf>
    <xf numFmtId="9" fontId="12" fillId="2" borderId="78" xfId="1" applyFont="1" applyFill="1" applyBorder="1" applyAlignment="1">
      <alignment horizontal="center" vertical="center"/>
    </xf>
    <xf numFmtId="166" fontId="14" fillId="0" borderId="2" xfId="1" applyNumberFormat="1" applyFont="1" applyFill="1" applyBorder="1" applyAlignment="1">
      <alignment horizontal="center" vertical="center"/>
    </xf>
    <xf numFmtId="9" fontId="11" fillId="2" borderId="2" xfId="1" applyFont="1" applyFill="1" applyBorder="1" applyAlignment="1">
      <alignment horizontal="center" vertical="center"/>
    </xf>
    <xf numFmtId="9" fontId="11" fillId="11" borderId="2" xfId="1" applyFont="1" applyFill="1" applyBorder="1" applyAlignment="1">
      <alignment horizontal="center" vertical="center"/>
    </xf>
    <xf numFmtId="9" fontId="10" fillId="2" borderId="2" xfId="1" applyFont="1" applyFill="1" applyBorder="1" applyAlignment="1">
      <alignment horizontal="center" vertical="center"/>
    </xf>
    <xf numFmtId="9" fontId="10" fillId="11" borderId="2" xfId="1" applyFont="1" applyFill="1" applyBorder="1" applyAlignment="1">
      <alignment horizontal="center" vertical="center"/>
    </xf>
    <xf numFmtId="9" fontId="10" fillId="40" borderId="2" xfId="1" applyFont="1" applyFill="1" applyBorder="1" applyAlignment="1">
      <alignment horizontal="center" vertical="center"/>
    </xf>
    <xf numFmtId="166" fontId="10" fillId="0" borderId="2" xfId="1" applyNumberFormat="1" applyFont="1" applyFill="1" applyBorder="1" applyAlignment="1">
      <alignment horizontal="center" vertical="center"/>
    </xf>
    <xf numFmtId="1" fontId="10" fillId="2" borderId="2" xfId="1" applyNumberFormat="1" applyFont="1" applyFill="1" applyBorder="1" applyAlignment="1">
      <alignment horizontal="center" vertical="center"/>
    </xf>
    <xf numFmtId="9" fontId="9" fillId="2" borderId="2" xfId="1" applyFont="1" applyFill="1" applyBorder="1" applyAlignment="1">
      <alignment horizontal="center" vertical="center"/>
    </xf>
    <xf numFmtId="9" fontId="9" fillId="11" borderId="2" xfId="1" applyFont="1" applyFill="1" applyBorder="1" applyAlignment="1">
      <alignment horizontal="center" vertical="center"/>
    </xf>
    <xf numFmtId="9" fontId="9" fillId="40" borderId="2" xfId="1" applyFont="1" applyFill="1" applyBorder="1" applyAlignment="1">
      <alignment horizontal="center" vertical="center"/>
    </xf>
    <xf numFmtId="166" fontId="9" fillId="0" borderId="2" xfId="1" applyNumberFormat="1" applyFont="1" applyFill="1" applyBorder="1" applyAlignment="1">
      <alignment horizontal="center" vertical="center"/>
    </xf>
    <xf numFmtId="1" fontId="9" fillId="2" borderId="2" xfId="1" applyNumberFormat="1" applyFont="1" applyFill="1" applyBorder="1" applyAlignment="1">
      <alignment horizontal="center" vertical="center"/>
    </xf>
    <xf numFmtId="165" fontId="9" fillId="2" borderId="2" xfId="1" applyNumberFormat="1" applyFont="1" applyFill="1" applyBorder="1" applyAlignment="1">
      <alignment horizontal="center" vertical="center"/>
    </xf>
    <xf numFmtId="9" fontId="8" fillId="2" borderId="2" xfId="1" applyFont="1" applyFill="1" applyBorder="1" applyAlignment="1">
      <alignment horizontal="center" vertical="center"/>
    </xf>
    <xf numFmtId="9" fontId="8" fillId="11" borderId="2" xfId="1" applyFont="1" applyFill="1" applyBorder="1" applyAlignment="1">
      <alignment horizontal="center" vertical="center"/>
    </xf>
    <xf numFmtId="166" fontId="8" fillId="0" borderId="2" xfId="1" applyNumberFormat="1" applyFont="1" applyFill="1" applyBorder="1" applyAlignment="1">
      <alignment horizontal="center" vertical="center"/>
    </xf>
    <xf numFmtId="9" fontId="7" fillId="11" borderId="2" xfId="1" applyFont="1" applyFill="1" applyBorder="1" applyAlignment="1">
      <alignment horizontal="center" vertical="center"/>
    </xf>
    <xf numFmtId="9" fontId="7" fillId="2" borderId="2" xfId="1" applyFont="1" applyFill="1" applyBorder="1" applyAlignment="1">
      <alignment horizontal="center" vertical="center"/>
    </xf>
    <xf numFmtId="166" fontId="7" fillId="0" borderId="2" xfId="1" applyNumberFormat="1" applyFont="1" applyFill="1" applyBorder="1" applyAlignment="1">
      <alignment horizontal="center" vertical="center"/>
    </xf>
    <xf numFmtId="1" fontId="7" fillId="2" borderId="2" xfId="1" applyNumberFormat="1" applyFont="1" applyFill="1" applyBorder="1" applyAlignment="1">
      <alignment horizontal="center" vertical="center"/>
    </xf>
    <xf numFmtId="9" fontId="6" fillId="2" borderId="2" xfId="1" applyFont="1" applyFill="1" applyBorder="1" applyAlignment="1">
      <alignment horizontal="center" vertical="center"/>
    </xf>
    <xf numFmtId="9" fontId="6" fillId="11" borderId="2" xfId="1" applyFont="1" applyFill="1" applyBorder="1" applyAlignment="1">
      <alignment horizontal="center" vertical="center"/>
    </xf>
    <xf numFmtId="9" fontId="6" fillId="40" borderId="2" xfId="1" applyFont="1" applyFill="1" applyBorder="1" applyAlignment="1">
      <alignment horizontal="center" vertical="center"/>
    </xf>
    <xf numFmtId="166" fontId="6" fillId="0" borderId="2" xfId="1" applyNumberFormat="1" applyFont="1" applyFill="1" applyBorder="1" applyAlignment="1">
      <alignment horizontal="center" vertical="center"/>
    </xf>
    <xf numFmtId="1" fontId="6" fillId="2" borderId="2" xfId="1" applyNumberFormat="1" applyFont="1" applyFill="1" applyBorder="1" applyAlignment="1">
      <alignment horizontal="center" vertical="center"/>
    </xf>
    <xf numFmtId="165" fontId="6" fillId="2" borderId="2" xfId="1" applyNumberFormat="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9" fontId="35" fillId="11" borderId="1" xfId="0" quotePrefix="1" applyNumberFormat="1" applyFont="1" applyFill="1" applyBorder="1" applyAlignment="1">
      <alignment horizontal="left" vertical="top" wrapText="1"/>
    </xf>
    <xf numFmtId="166" fontId="5" fillId="0" borderId="2" xfId="1" applyNumberFormat="1" applyFont="1" applyFill="1" applyBorder="1" applyAlignment="1">
      <alignment horizontal="center" vertical="center"/>
    </xf>
    <xf numFmtId="1" fontId="5" fillId="2" borderId="2" xfId="1" applyNumberFormat="1" applyFont="1" applyFill="1" applyBorder="1" applyAlignment="1">
      <alignment horizontal="center" vertical="center"/>
    </xf>
    <xf numFmtId="165" fontId="5" fillId="2" borderId="2" xfId="1" applyNumberFormat="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9" fontId="4" fillId="40" borderId="2" xfId="1" applyFont="1" applyFill="1" applyBorder="1" applyAlignment="1">
      <alignment horizontal="center" vertical="center"/>
    </xf>
    <xf numFmtId="166" fontId="4" fillId="0" borderId="2" xfId="1" applyNumberFormat="1" applyFont="1" applyFill="1" applyBorder="1" applyAlignment="1">
      <alignment horizontal="center" vertical="center"/>
    </xf>
    <xf numFmtId="1" fontId="4" fillId="2" borderId="2" xfId="1" applyNumberFormat="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2" fillId="40" borderId="2" xfId="1" applyFont="1" applyFill="1" applyBorder="1" applyAlignment="1">
      <alignment horizontal="center" vertical="center"/>
    </xf>
    <xf numFmtId="166" fontId="2" fillId="0" borderId="2" xfId="1" applyNumberFormat="1" applyFont="1" applyFill="1" applyBorder="1" applyAlignment="1">
      <alignment horizontal="center" vertical="center"/>
    </xf>
    <xf numFmtId="1" fontId="2" fillId="2" borderId="2" xfId="1" applyNumberFormat="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166" fontId="0" fillId="0" borderId="90" xfId="0" applyNumberFormat="1" applyBorder="1" applyAlignment="1">
      <alignment horizontal="center"/>
    </xf>
    <xf numFmtId="0" fontId="33" fillId="35" borderId="21" xfId="2" applyFont="1" applyFill="1" applyBorder="1" applyAlignment="1">
      <alignment horizontal="center" vertical="center" wrapText="1"/>
    </xf>
    <xf numFmtId="0" fontId="33" fillId="35" borderId="22" xfId="2" applyFont="1" applyFill="1" applyBorder="1" applyAlignment="1">
      <alignment horizontal="center" vertical="center" wrapText="1"/>
    </xf>
    <xf numFmtId="0" fontId="33" fillId="35" borderId="49" xfId="2" applyFont="1" applyFill="1" applyBorder="1" applyAlignment="1">
      <alignment horizontal="center" vertical="center" wrapText="1"/>
    </xf>
    <xf numFmtId="0" fontId="33" fillId="35" borderId="39" xfId="2" applyFont="1" applyFill="1" applyBorder="1" applyAlignment="1">
      <alignment horizontal="center" vertical="center" wrapText="1"/>
    </xf>
    <xf numFmtId="49" fontId="33" fillId="25" borderId="43" xfId="2" applyNumberFormat="1" applyFont="1" applyFill="1" applyBorder="1" applyAlignment="1">
      <alignment horizontal="center" vertical="center" wrapText="1"/>
    </xf>
    <xf numFmtId="49" fontId="33" fillId="25" borderId="44" xfId="2" applyNumberFormat="1" applyFont="1" applyFill="1" applyBorder="1" applyAlignment="1">
      <alignment horizontal="center" vertical="center" wrapText="1"/>
    </xf>
    <xf numFmtId="49" fontId="33" fillId="25" borderId="45" xfId="2" applyNumberFormat="1" applyFont="1" applyFill="1" applyBorder="1" applyAlignment="1">
      <alignment horizontal="center" vertical="center" wrapText="1"/>
    </xf>
    <xf numFmtId="49" fontId="33" fillId="25" borderId="51" xfId="2" applyNumberFormat="1" applyFont="1" applyFill="1" applyBorder="1" applyAlignment="1">
      <alignment horizontal="center" vertical="center" wrapText="1"/>
    </xf>
    <xf numFmtId="49" fontId="33" fillId="25" borderId="52" xfId="2" applyNumberFormat="1" applyFont="1" applyFill="1" applyBorder="1" applyAlignment="1">
      <alignment horizontal="center" vertical="center" wrapText="1"/>
    </xf>
    <xf numFmtId="49" fontId="33" fillId="25" borderId="53" xfId="2" applyNumberFormat="1" applyFont="1" applyFill="1" applyBorder="1" applyAlignment="1">
      <alignment horizontal="center" vertical="center" wrapText="1"/>
    </xf>
    <xf numFmtId="0" fontId="46" fillId="28" borderId="87" xfId="2" applyFont="1" applyFill="1" applyBorder="1" applyAlignment="1">
      <alignment horizontal="center" vertical="center"/>
    </xf>
    <xf numFmtId="0" fontId="46" fillId="28" borderId="88" xfId="2" applyFont="1" applyFill="1" applyBorder="1" applyAlignment="1">
      <alignment horizontal="center" vertical="center"/>
    </xf>
    <xf numFmtId="0" fontId="46" fillId="28" borderId="89" xfId="2" applyFont="1" applyFill="1" applyBorder="1" applyAlignment="1">
      <alignment horizontal="center" vertical="center"/>
    </xf>
    <xf numFmtId="49" fontId="33" fillId="34" borderId="86" xfId="2" applyNumberFormat="1" applyFont="1" applyFill="1" applyBorder="1" applyAlignment="1">
      <alignment horizontal="left" vertical="center" wrapText="1" indent="1"/>
    </xf>
    <xf numFmtId="49" fontId="33" fillId="34" borderId="21" xfId="2" applyNumberFormat="1" applyFont="1" applyFill="1" applyBorder="1" applyAlignment="1">
      <alignment horizontal="left" vertical="center" wrapText="1" indent="1"/>
    </xf>
    <xf numFmtId="49" fontId="33" fillId="34" borderId="22" xfId="2" applyNumberFormat="1" applyFont="1" applyFill="1" applyBorder="1" applyAlignment="1">
      <alignment horizontal="left" vertical="center" wrapText="1" indent="1"/>
    </xf>
    <xf numFmtId="0" fontId="44" fillId="36" borderId="46" xfId="2" applyFont="1" applyFill="1" applyBorder="1" applyAlignment="1">
      <alignment horizontal="center" vertical="center" wrapText="1"/>
    </xf>
    <xf numFmtId="0" fontId="44" fillId="36" borderId="47" xfId="2" applyFont="1" applyFill="1" applyBorder="1" applyAlignment="1">
      <alignment horizontal="center" vertical="center" wrapText="1"/>
    </xf>
    <xf numFmtId="0" fontId="44" fillId="36" borderId="48" xfId="2" applyFont="1" applyFill="1" applyBorder="1" applyAlignment="1">
      <alignment horizontal="center" vertical="center" wrapText="1"/>
    </xf>
    <xf numFmtId="0" fontId="44" fillId="37" borderId="46" xfId="2" applyFont="1" applyFill="1" applyBorder="1" applyAlignment="1">
      <alignment horizontal="center" vertical="center" wrapText="1"/>
    </xf>
    <xf numFmtId="0" fontId="44" fillId="37" borderId="47" xfId="2" applyFont="1" applyFill="1" applyBorder="1" applyAlignment="1">
      <alignment horizontal="center" vertical="center" wrapText="1"/>
    </xf>
    <xf numFmtId="0" fontId="44" fillId="37" borderId="48" xfId="2" applyFont="1" applyFill="1" applyBorder="1" applyAlignment="1">
      <alignment horizontal="center" vertical="center" wrapText="1"/>
    </xf>
    <xf numFmtId="0" fontId="44" fillId="38" borderId="46" xfId="2" applyFont="1" applyFill="1" applyBorder="1" applyAlignment="1">
      <alignment horizontal="center" vertical="center" wrapText="1"/>
    </xf>
    <xf numFmtId="0" fontId="44" fillId="38" borderId="47" xfId="2" applyFont="1" applyFill="1" applyBorder="1" applyAlignment="1">
      <alignment horizontal="center" vertical="center" wrapText="1"/>
    </xf>
    <xf numFmtId="0" fontId="44" fillId="38" borderId="48" xfId="2" applyFont="1" applyFill="1" applyBorder="1" applyAlignment="1">
      <alignment horizontal="center" vertical="center" wrapText="1"/>
    </xf>
    <xf numFmtId="0" fontId="44" fillId="24" borderId="85" xfId="2" applyFont="1" applyFill="1" applyBorder="1" applyAlignment="1">
      <alignment horizontal="center" vertical="center" wrapText="1"/>
    </xf>
    <xf numFmtId="0" fontId="44" fillId="24" borderId="83" xfId="2" applyFont="1" applyFill="1" applyBorder="1" applyAlignment="1">
      <alignment horizontal="center" vertical="center" wrapText="1"/>
    </xf>
    <xf numFmtId="0" fontId="44" fillId="24" borderId="84" xfId="2" applyFont="1" applyFill="1" applyBorder="1" applyAlignment="1">
      <alignment horizontal="center" vertical="center" wrapText="1"/>
    </xf>
    <xf numFmtId="0" fontId="44" fillId="39" borderId="82" xfId="2" applyFont="1" applyFill="1" applyBorder="1" applyAlignment="1">
      <alignment horizontal="center" vertical="center" wrapText="1"/>
    </xf>
    <xf numFmtId="0" fontId="44" fillId="39" borderId="83" xfId="2" applyFont="1" applyFill="1" applyBorder="1" applyAlignment="1">
      <alignment horizontal="center" vertical="center" wrapText="1"/>
    </xf>
    <xf numFmtId="0" fontId="44" fillId="39" borderId="84" xfId="2" applyFont="1" applyFill="1" applyBorder="1" applyAlignment="1">
      <alignment horizontal="center" vertical="center" wrapText="1"/>
    </xf>
    <xf numFmtId="9" fontId="48" fillId="30" borderId="79" xfId="0" applyNumberFormat="1" applyFont="1" applyFill="1" applyBorder="1" applyAlignment="1">
      <alignment horizontal="center" vertical="center" wrapText="1"/>
    </xf>
    <xf numFmtId="9" fontId="48" fillId="30" borderId="80" xfId="0" applyNumberFormat="1" applyFont="1" applyFill="1" applyBorder="1" applyAlignment="1">
      <alignment horizontal="center" vertical="center" wrapText="1"/>
    </xf>
    <xf numFmtId="9" fontId="48" fillId="30" borderId="81" xfId="0" applyNumberFormat="1" applyFont="1" applyFill="1" applyBorder="1" applyAlignment="1">
      <alignment horizontal="center" vertical="center" wrapText="1"/>
    </xf>
    <xf numFmtId="9" fontId="33" fillId="33" borderId="36" xfId="0" applyNumberFormat="1" applyFont="1" applyFill="1" applyBorder="1" applyAlignment="1">
      <alignment horizontal="center" vertical="center" wrapText="1"/>
    </xf>
    <xf numFmtId="9" fontId="33" fillId="33" borderId="35" xfId="0" applyNumberFormat="1" applyFont="1" applyFill="1" applyBorder="1" applyAlignment="1">
      <alignment horizontal="center" vertical="center" wrapText="1"/>
    </xf>
    <xf numFmtId="9" fontId="33"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32" fillId="20" borderId="10" xfId="0" applyFont="1" applyFill="1" applyBorder="1" applyAlignment="1">
      <alignment horizontal="right" vertical="center"/>
    </xf>
    <xf numFmtId="0" fontId="32" fillId="20" borderId="11" xfId="0" applyFont="1" applyFill="1" applyBorder="1" applyAlignment="1">
      <alignment horizontal="right" vertical="center"/>
    </xf>
    <xf numFmtId="0" fontId="32" fillId="19" borderId="0" xfId="0" applyFont="1" applyFill="1" applyAlignment="1">
      <alignment horizontal="center" vertical="center"/>
    </xf>
    <xf numFmtId="0" fontId="32"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59">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BANKS/ACCESS/BANKS%20ACCESS%2006%20JUN%202026.xlsx" TargetMode="External"/><Relationship Id="rId1" Type="http://schemas.openxmlformats.org/officeDocument/2006/relationships/externalLinkPath" Target="/Users/simonblair/Library/CloudStorage/Dropbox/ACXPA%20Quality%20Insights/REPORTS/2026/BANKS/ACCESS/BANKS%20ACCESS%2006%20JU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NZ"/>
      <sheetName val="BENDIGO"/>
      <sheetName val="CBA"/>
      <sheetName val="ING"/>
      <sheetName val="nab"/>
      <sheetName val="WESTPAC"/>
      <sheetName val="BANK_AUSTRALIA"/>
      <sheetName val="GREAT_SOUTHERN"/>
      <sheetName val="HUME"/>
    </sheetNames>
    <sheetDataSet>
      <sheetData sheetId="0"/>
      <sheetData sheetId="1"/>
      <sheetData sheetId="2">
        <row r="4">
          <cell r="D4">
            <v>0.6333928571428572</v>
          </cell>
          <cell r="E4">
            <v>0.34821428571428575</v>
          </cell>
          <cell r="F4">
            <v>0.31708333333333333</v>
          </cell>
          <cell r="G4">
            <v>6.6279761904761911E-2</v>
          </cell>
          <cell r="H4">
            <v>0.40446428571428572</v>
          </cell>
          <cell r="I4">
            <v>4.1388888888888885E-2</v>
          </cell>
          <cell r="J4">
            <v>0.52071428571428569</v>
          </cell>
          <cell r="K4">
            <v>0.49697420634920636</v>
          </cell>
          <cell r="L4">
            <v>0.89087301587301582</v>
          </cell>
        </row>
        <row r="70">
          <cell r="B70">
            <v>3.7948388203017836E-3</v>
          </cell>
          <cell r="D70">
            <v>2.6890432098765436E-3</v>
          </cell>
          <cell r="E70">
            <v>5.923996913580247E-3</v>
          </cell>
          <cell r="F70">
            <v>3.5513117283950623E-3</v>
          </cell>
          <cell r="G70">
            <v>7.2858796296296283E-3</v>
          </cell>
          <cell r="H70">
            <v>3.9409722222222224E-3</v>
          </cell>
          <cell r="I70">
            <v>1.3599537037037037E-3</v>
          </cell>
          <cell r="J70">
            <v>4.2962962962962963E-3</v>
          </cell>
          <cell r="K70">
            <v>3.9544753086419755E-3</v>
          </cell>
          <cell r="L70">
            <v>1.1516203703703703E-3</v>
          </cell>
        </row>
      </sheetData>
      <sheetData sheetId="3">
        <row r="4">
          <cell r="D4">
            <v>0.76374999999999993</v>
          </cell>
          <cell r="E4">
            <v>0.6283333333333333</v>
          </cell>
          <cell r="F4">
            <v>0.66999999999999993</v>
          </cell>
          <cell r="G4">
            <v>0.55392857142857144</v>
          </cell>
          <cell r="H4">
            <v>0.64916666666666667</v>
          </cell>
          <cell r="I4">
            <v>0.53517857142857139</v>
          </cell>
        </row>
      </sheetData>
      <sheetData sheetId="4">
        <row r="4">
          <cell r="D4">
            <v>0.7008928571428571</v>
          </cell>
          <cell r="E4">
            <v>0.1696428571428571</v>
          </cell>
          <cell r="F4">
            <v>0.1026785714285714</v>
          </cell>
          <cell r="G4">
            <v>0.1696428571428571</v>
          </cell>
          <cell r="H4">
            <v>0.1026785714285714</v>
          </cell>
          <cell r="I4">
            <v>0.84375</v>
          </cell>
        </row>
      </sheetData>
      <sheetData sheetId="5">
        <row r="4">
          <cell r="D4">
            <v>0.30964285714285711</v>
          </cell>
          <cell r="E4">
            <v>0.23821428571428568</v>
          </cell>
          <cell r="F4">
            <v>0.37958333333333338</v>
          </cell>
          <cell r="G4">
            <v>0.31708333333333338</v>
          </cell>
          <cell r="H4">
            <v>0.37958333333333338</v>
          </cell>
          <cell r="I4">
            <v>0.27839285714285711</v>
          </cell>
        </row>
      </sheetData>
      <sheetData sheetId="6">
        <row r="4">
          <cell r="D4">
            <v>0.10107142857142859</v>
          </cell>
          <cell r="E4">
            <v>0</v>
          </cell>
          <cell r="F4">
            <v>0</v>
          </cell>
          <cell r="G4">
            <v>0</v>
          </cell>
          <cell r="H4">
            <v>0.29660714285714285</v>
          </cell>
          <cell r="I4">
            <v>0</v>
          </cell>
        </row>
      </sheetData>
      <sheetData sheetId="7">
        <row r="4">
          <cell r="D4">
            <v>0.45964285714285713</v>
          </cell>
          <cell r="E4">
            <v>0.4629166666666667</v>
          </cell>
          <cell r="F4">
            <v>0.4629166666666667</v>
          </cell>
          <cell r="G4">
            <v>0.4629166666666667</v>
          </cell>
          <cell r="H4">
            <v>0</v>
          </cell>
          <cell r="I4">
            <v>0.57839285714285715</v>
          </cell>
        </row>
      </sheetData>
      <sheetData sheetId="8">
        <row r="4">
          <cell r="D4">
            <v>0</v>
          </cell>
          <cell r="E4">
            <v>0</v>
          </cell>
          <cell r="F4">
            <v>0</v>
          </cell>
          <cell r="G4">
            <v>0.24833333333333329</v>
          </cell>
          <cell r="H4">
            <v>0</v>
          </cell>
          <cell r="I4">
            <v>0</v>
          </cell>
        </row>
      </sheetData>
      <sheetData sheetId="9">
        <row r="4">
          <cell r="D4">
            <v>0.70958333333333334</v>
          </cell>
          <cell r="E4">
            <v>3.5178571428571392E-2</v>
          </cell>
          <cell r="F4">
            <v>0.74083333333333334</v>
          </cell>
          <cell r="G4">
            <v>0.5708928571428572</v>
          </cell>
          <cell r="H4">
            <v>0.54708333333333337</v>
          </cell>
        </row>
      </sheetData>
      <sheetData sheetId="10">
        <row r="4">
          <cell r="D4">
            <v>0.64166666666666672</v>
          </cell>
          <cell r="E4">
            <v>0.75416666666666665</v>
          </cell>
          <cell r="F4">
            <v>4.2857142857142816E-2</v>
          </cell>
          <cell r="G4">
            <v>0.66041666666666665</v>
          </cell>
          <cell r="H4">
            <v>0.72291666666666665</v>
          </cell>
          <cell r="I4">
            <v>0.15982142857142856</v>
          </cell>
        </row>
      </sheetData>
      <sheetData sheetId="11">
        <row r="4">
          <cell r="D4">
            <v>0.89583333333333337</v>
          </cell>
          <cell r="E4">
            <v>0.86458333333333337</v>
          </cell>
          <cell r="F4">
            <v>0.86458333333333337</v>
          </cell>
          <cell r="G4">
            <v>0.92708333333333337</v>
          </cell>
          <cell r="H4">
            <v>0.8348214285714286</v>
          </cell>
          <cell r="I4">
            <v>0.95833333333333337</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T5" activePane="bottomRight" state="frozen"/>
      <selection pane="topRight" activeCell="B1" sqref="B1"/>
      <selection pane="bottomLeft" activeCell="A5" sqref="A5"/>
      <selection pane="bottomRight" activeCell="Y10" sqref="Y10"/>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89" customWidth="1"/>
    <col min="34" max="38" width="16.6640625" style="74" customWidth="1"/>
    <col min="39" max="39" width="16.6640625" style="289"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81"/>
      <c r="AH1" s="64"/>
      <c r="AI1" s="64"/>
      <c r="AJ1" s="64"/>
      <c r="AK1" s="64"/>
      <c r="AL1" s="64"/>
      <c r="AM1" s="281"/>
    </row>
    <row r="2" spans="1:39" ht="27" customHeight="1" thickBot="1" x14ac:dyDescent="0.25">
      <c r="A2" s="355" t="s">
        <v>79</v>
      </c>
      <c r="B2" s="376" t="s">
        <v>115</v>
      </c>
      <c r="C2" s="379" t="s">
        <v>116</v>
      </c>
      <c r="D2" s="358" t="s">
        <v>122</v>
      </c>
      <c r="E2" s="359"/>
      <c r="F2" s="359"/>
      <c r="G2" s="359"/>
      <c r="H2" s="359"/>
      <c r="I2" s="359"/>
      <c r="J2" s="359"/>
      <c r="K2" s="359"/>
      <c r="L2" s="359"/>
      <c r="M2" s="359"/>
      <c r="N2" s="359"/>
      <c r="O2" s="359"/>
      <c r="P2" s="359"/>
      <c r="Q2" s="359"/>
      <c r="R2" s="359"/>
      <c r="S2" s="359"/>
      <c r="T2" s="359"/>
      <c r="U2" s="359"/>
      <c r="V2" s="359"/>
      <c r="W2" s="359"/>
      <c r="X2" s="359"/>
      <c r="Y2" s="359"/>
      <c r="Z2" s="360"/>
      <c r="AA2" s="66"/>
      <c r="AB2" s="345" t="s">
        <v>51</v>
      </c>
      <c r="AC2" s="345"/>
      <c r="AD2" s="346"/>
      <c r="AE2" s="119"/>
      <c r="AF2" s="349"/>
      <c r="AG2" s="350"/>
      <c r="AH2" s="350"/>
      <c r="AI2" s="350"/>
      <c r="AJ2" s="350"/>
      <c r="AK2" s="350"/>
      <c r="AL2" s="351"/>
      <c r="AM2" s="344"/>
    </row>
    <row r="3" spans="1:39" ht="27" customHeight="1" thickBot="1" x14ac:dyDescent="0.25">
      <c r="A3" s="356"/>
      <c r="B3" s="377"/>
      <c r="C3" s="380"/>
      <c r="D3" s="361" t="s">
        <v>9</v>
      </c>
      <c r="E3" s="362"/>
      <c r="F3" s="362"/>
      <c r="G3" s="362"/>
      <c r="H3" s="363"/>
      <c r="I3" s="364" t="s">
        <v>10</v>
      </c>
      <c r="J3" s="365"/>
      <c r="K3" s="365"/>
      <c r="L3" s="366"/>
      <c r="M3" s="367" t="s">
        <v>11</v>
      </c>
      <c r="N3" s="368"/>
      <c r="O3" s="368"/>
      <c r="P3" s="368"/>
      <c r="Q3" s="369"/>
      <c r="R3" s="370" t="s">
        <v>12</v>
      </c>
      <c r="S3" s="371"/>
      <c r="T3" s="371"/>
      <c r="U3" s="372"/>
      <c r="V3" s="373" t="s">
        <v>120</v>
      </c>
      <c r="W3" s="374"/>
      <c r="X3" s="374"/>
      <c r="Y3" s="374"/>
      <c r="Z3" s="375"/>
      <c r="AA3" s="67"/>
      <c r="AB3" s="347"/>
      <c r="AC3" s="347"/>
      <c r="AD3" s="348"/>
      <c r="AE3" s="120"/>
      <c r="AF3" s="352"/>
      <c r="AG3" s="353"/>
      <c r="AH3" s="353"/>
      <c r="AI3" s="353"/>
      <c r="AJ3" s="353"/>
      <c r="AK3" s="353"/>
      <c r="AL3" s="354"/>
      <c r="AM3" s="344"/>
    </row>
    <row r="4" spans="1:39" ht="45" customHeight="1" thickBot="1" x14ac:dyDescent="0.25">
      <c r="A4" s="357"/>
      <c r="B4" s="378"/>
      <c r="C4" s="381"/>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121</v>
      </c>
      <c r="AA4" s="69"/>
      <c r="AB4" s="136" t="s">
        <v>105</v>
      </c>
      <c r="AC4" s="136" t="s">
        <v>57</v>
      </c>
      <c r="AD4" s="136" t="s">
        <v>58</v>
      </c>
      <c r="AE4" s="137"/>
      <c r="AF4" s="138" t="s">
        <v>114</v>
      </c>
      <c r="AG4" s="290" t="s">
        <v>40</v>
      </c>
      <c r="AH4" s="139" t="s">
        <v>39</v>
      </c>
      <c r="AI4" s="139" t="s">
        <v>36</v>
      </c>
      <c r="AJ4" s="139" t="s">
        <v>37</v>
      </c>
      <c r="AK4" s="139" t="s">
        <v>38</v>
      </c>
      <c r="AL4" s="258" t="s">
        <v>112</v>
      </c>
      <c r="AM4" s="282" t="s">
        <v>106</v>
      </c>
    </row>
    <row r="5" spans="1:39" ht="24" x14ac:dyDescent="0.2">
      <c r="A5" s="116" t="str">
        <f>OVERALL!D$1</f>
        <v>ANZ</v>
      </c>
      <c r="B5" s="140">
        <f>OVERALL!D3</f>
        <v>0.69557341269841266</v>
      </c>
      <c r="C5" s="141">
        <f>OVERALL!D$4</f>
        <v>0.72222222222222221</v>
      </c>
      <c r="D5" s="142">
        <f>OVERALL!D$6</f>
        <v>0.5</v>
      </c>
      <c r="E5" s="70">
        <f>OVERALL!D$7</f>
        <v>0.83333333333333337</v>
      </c>
      <c r="F5" s="71">
        <f>OVERALL!D$8</f>
        <v>0.5</v>
      </c>
      <c r="G5" s="81">
        <f>OVERALL!D$9</f>
        <v>0.16666666666666666</v>
      </c>
      <c r="H5" s="83">
        <f>OVERALL!D$10</f>
        <v>0.5</v>
      </c>
      <c r="I5" s="143">
        <f>OVERALL!D$12</f>
        <v>0.77777777777777779</v>
      </c>
      <c r="J5" s="81">
        <f>OVERALL!D$13</f>
        <v>0.5</v>
      </c>
      <c r="K5" s="82">
        <f>OVERALL!D$14</f>
        <v>1</v>
      </c>
      <c r="L5" s="144">
        <f>OVERALL!D$15</f>
        <v>0.83333333333333337</v>
      </c>
      <c r="M5" s="145">
        <f>OVERALL!D$17</f>
        <v>0.83333333333333326</v>
      </c>
      <c r="N5" s="81">
        <f>OVERALL!D$18</f>
        <v>1</v>
      </c>
      <c r="O5" s="82">
        <f>OVERALL!D$19</f>
        <v>0.33333333333333331</v>
      </c>
      <c r="P5" s="82">
        <f>OVERALL!D$20</f>
        <v>1</v>
      </c>
      <c r="Q5" s="144">
        <f>OVERALL!D$21</f>
        <v>1</v>
      </c>
      <c r="R5" s="146">
        <f>OVERALL!D$23</f>
        <v>0.72222222222222232</v>
      </c>
      <c r="S5" s="147">
        <f>OVERALL!D$24</f>
        <v>0.83333333333333337</v>
      </c>
      <c r="T5" s="83">
        <f>OVERALL!D$25</f>
        <v>0.33333333333333331</v>
      </c>
      <c r="U5" s="83">
        <f>OVERALL!D$26</f>
        <v>1</v>
      </c>
      <c r="V5" s="148">
        <f>OVERALL!D$28</f>
        <v>0.75</v>
      </c>
      <c r="W5" s="147">
        <f>OVERALL!D$29</f>
        <v>1</v>
      </c>
      <c r="X5" s="83">
        <f>OVERALL!D$30</f>
        <v>0.5</v>
      </c>
      <c r="Y5" s="83">
        <f>OVERALL!D$31</f>
        <v>0.66666666666666663</v>
      </c>
      <c r="Z5" s="83">
        <f>OVERALL!D$32</f>
        <v>0.83333333333333337</v>
      </c>
      <c r="AA5" s="72"/>
      <c r="AB5" s="82">
        <f>OVERALL!D$34</f>
        <v>0</v>
      </c>
      <c r="AC5" s="82">
        <f>OVERALL!$D$35</f>
        <v>0</v>
      </c>
      <c r="AD5" s="82">
        <f>OVERALL!$D$36</f>
        <v>0</v>
      </c>
      <c r="AE5" s="73"/>
      <c r="AF5" s="84">
        <f>OVERALL!D$39</f>
        <v>1</v>
      </c>
      <c r="AG5" s="283">
        <f>OVERALL!D$40</f>
        <v>6.8152006172839509E-3</v>
      </c>
      <c r="AH5" s="85">
        <f>OVERALL!D$41</f>
        <v>6.666666666666667</v>
      </c>
      <c r="AI5" s="82">
        <f>OVERALL!D$42</f>
        <v>1</v>
      </c>
      <c r="AJ5" s="82">
        <f>OVERALL!D$43</f>
        <v>1</v>
      </c>
      <c r="AK5" s="82">
        <f>OVERALL!D$44</f>
        <v>1</v>
      </c>
      <c r="AL5" s="82">
        <f>OVERALL!D$45</f>
        <v>0.5</v>
      </c>
      <c r="AM5" s="283">
        <f>OVERALL!D71</f>
        <v>9.5042438271604954E-3</v>
      </c>
    </row>
    <row r="6" spans="1:39" ht="24" x14ac:dyDescent="0.2">
      <c r="A6" s="116" t="str">
        <f>OVERALL!E$1</f>
        <v>BENDIGO BANK</v>
      </c>
      <c r="B6" s="140">
        <f>OVERALL!E3</f>
        <v>0.20050595238095242</v>
      </c>
      <c r="C6" s="149">
        <f>OVERALL!E$4</f>
        <v>0.42291666666666672</v>
      </c>
      <c r="D6" s="142">
        <f>OVERALL!E$6</f>
        <v>0.25</v>
      </c>
      <c r="E6" s="150">
        <f>OVERALL!E$7</f>
        <v>1</v>
      </c>
      <c r="F6" s="151">
        <f>OVERALL!E$8</f>
        <v>0</v>
      </c>
      <c r="G6" s="152">
        <f>OVERALL!E$9</f>
        <v>0</v>
      </c>
      <c r="H6" s="153">
        <f>OVERALL!E$10</f>
        <v>0</v>
      </c>
      <c r="I6" s="143">
        <f>OVERALL!E$12</f>
        <v>0.33333333333333331</v>
      </c>
      <c r="J6" s="152">
        <f>OVERALL!E$13</f>
        <v>0</v>
      </c>
      <c r="K6" s="154">
        <f>OVERALL!E$14</f>
        <v>1</v>
      </c>
      <c r="L6" s="155">
        <f>OVERALL!E$15</f>
        <v>0</v>
      </c>
      <c r="M6" s="145">
        <f>OVERALL!E$17</f>
        <v>0.625</v>
      </c>
      <c r="N6" s="152">
        <f>OVERALL!E$18</f>
        <v>0.5</v>
      </c>
      <c r="O6" s="154">
        <f>OVERALL!E$19</f>
        <v>0.5</v>
      </c>
      <c r="P6" s="154">
        <f>OVERALL!E$20</f>
        <v>0.5</v>
      </c>
      <c r="Q6" s="155">
        <f>OVERALL!E$21</f>
        <v>1</v>
      </c>
      <c r="R6" s="146">
        <f>OVERALL!E$23</f>
        <v>0.5</v>
      </c>
      <c r="S6" s="156">
        <f>OVERALL!E$24</f>
        <v>0.5</v>
      </c>
      <c r="T6" s="153">
        <f>OVERALL!E$25</f>
        <v>0</v>
      </c>
      <c r="U6" s="153">
        <f>OVERALL!E$26</f>
        <v>1</v>
      </c>
      <c r="V6" s="148">
        <f>OVERALL!E$28</f>
        <v>0.375</v>
      </c>
      <c r="W6" s="156">
        <f>OVERALL!E$29</f>
        <v>1</v>
      </c>
      <c r="X6" s="153">
        <f>OVERALL!E$30</f>
        <v>0.5</v>
      </c>
      <c r="Y6" s="153">
        <f>OVERALL!E$31</f>
        <v>0</v>
      </c>
      <c r="Z6" s="153">
        <f>OVERALL!E$32</f>
        <v>0</v>
      </c>
      <c r="AA6" s="72"/>
      <c r="AB6" s="154">
        <f>OVERALL!E$34</f>
        <v>0</v>
      </c>
      <c r="AC6" s="154">
        <f>OVERALL!$E$35</f>
        <v>0</v>
      </c>
      <c r="AD6" s="154">
        <f>OVERALL!$E$36</f>
        <v>0</v>
      </c>
      <c r="AE6" s="73"/>
      <c r="AF6" s="157">
        <f>OVERALL!E$39</f>
        <v>0.33333333333333331</v>
      </c>
      <c r="AG6" s="284">
        <f>OVERALL!E$40</f>
        <v>4.9479166666666664E-3</v>
      </c>
      <c r="AH6" s="158">
        <f>OVERALL!E$41</f>
        <v>4</v>
      </c>
      <c r="AI6" s="154">
        <f>OVERALL!E$42</f>
        <v>0.5</v>
      </c>
      <c r="AJ6" s="154">
        <f>OVERALL!E$43</f>
        <v>1</v>
      </c>
      <c r="AK6" s="154">
        <f>OVERALL!E$44</f>
        <v>1</v>
      </c>
      <c r="AL6" s="154">
        <f>OVERALL!E$45</f>
        <v>0.5</v>
      </c>
      <c r="AM6" s="284">
        <f>OVERALL!E71</f>
        <v>1.0871913580246913E-2</v>
      </c>
    </row>
    <row r="7" spans="1:39" ht="24" x14ac:dyDescent="0.2">
      <c r="A7" s="116" t="str">
        <f>OVERALL!F$1</f>
        <v>CBA</v>
      </c>
      <c r="B7" s="140">
        <f>OVERALL!F3</f>
        <v>0.488875</v>
      </c>
      <c r="C7" s="141">
        <f>OVERALL!F$4</f>
        <v>0.5625</v>
      </c>
      <c r="D7" s="142">
        <f>OVERALL!F$6</f>
        <v>0.5</v>
      </c>
      <c r="E7" s="70">
        <f>OVERALL!F$7</f>
        <v>0.5</v>
      </c>
      <c r="F7" s="71">
        <f>OVERALL!F$8</f>
        <v>0.66666666666666663</v>
      </c>
      <c r="G7" s="81">
        <f>OVERALL!F$9</f>
        <v>0.83333333333333337</v>
      </c>
      <c r="H7" s="83">
        <f>OVERALL!F$10</f>
        <v>0</v>
      </c>
      <c r="I7" s="143">
        <f>OVERALL!F$12</f>
        <v>0.33333333333333331</v>
      </c>
      <c r="J7" s="81">
        <f>OVERALL!F$13</f>
        <v>0</v>
      </c>
      <c r="K7" s="82">
        <f>OVERALL!F$14</f>
        <v>0.83333333333333337</v>
      </c>
      <c r="L7" s="144">
        <f>OVERALL!F$15</f>
        <v>0.16666666666666666</v>
      </c>
      <c r="M7" s="145">
        <f>OVERALL!F$17</f>
        <v>0.58333333333333326</v>
      </c>
      <c r="N7" s="81">
        <f>OVERALL!F$18</f>
        <v>0.33333333333333331</v>
      </c>
      <c r="O7" s="82">
        <f>OVERALL!F$19</f>
        <v>0</v>
      </c>
      <c r="P7" s="82">
        <f>OVERALL!F$20</f>
        <v>1</v>
      </c>
      <c r="Q7" s="144">
        <f>OVERALL!F$21</f>
        <v>1</v>
      </c>
      <c r="R7" s="146">
        <f>OVERALL!F$23</f>
        <v>0.61111111111111105</v>
      </c>
      <c r="S7" s="147">
        <f>OVERALL!F$24</f>
        <v>0.5</v>
      </c>
      <c r="T7" s="83">
        <f>OVERALL!F$25</f>
        <v>0.33333333333333331</v>
      </c>
      <c r="U7" s="83">
        <f>OVERALL!F$26</f>
        <v>1</v>
      </c>
      <c r="V7" s="148">
        <f>OVERALL!F$28</f>
        <v>0.79166666666666674</v>
      </c>
      <c r="W7" s="147">
        <f>OVERALL!F$29</f>
        <v>1</v>
      </c>
      <c r="X7" s="83">
        <f>OVERALL!F$30</f>
        <v>0.5</v>
      </c>
      <c r="Y7" s="83">
        <f>OVERALL!F$31</f>
        <v>0.83333333333333337</v>
      </c>
      <c r="Z7" s="83">
        <f>OVERALL!F$32</f>
        <v>0.83333333333333337</v>
      </c>
      <c r="AA7" s="72"/>
      <c r="AB7" s="82">
        <f>OVERALL!F$34</f>
        <v>0</v>
      </c>
      <c r="AC7" s="82">
        <f>OVERALL!$F$35</f>
        <v>0</v>
      </c>
      <c r="AD7" s="82">
        <f>OVERALL!$F$36</f>
        <v>0</v>
      </c>
      <c r="AE7" s="73"/>
      <c r="AF7" s="84">
        <f>OVERALL!F$39</f>
        <v>1</v>
      </c>
      <c r="AG7" s="283">
        <f>OVERALL!F$40</f>
        <v>5.0810185185185186E-3</v>
      </c>
      <c r="AH7" s="85">
        <f>OVERALL!F$41</f>
        <v>5</v>
      </c>
      <c r="AI7" s="82">
        <f>OVERALL!F$42</f>
        <v>0.33333333333333331</v>
      </c>
      <c r="AJ7" s="82">
        <f>OVERALL!F$43</f>
        <v>0.5</v>
      </c>
      <c r="AK7" s="82">
        <f>OVERALL!F$44</f>
        <v>1</v>
      </c>
      <c r="AL7" s="82">
        <f>OVERALL!F$45</f>
        <v>0.5</v>
      </c>
      <c r="AM7" s="283">
        <f>OVERALL!F71</f>
        <v>8.6323302469135804E-3</v>
      </c>
    </row>
    <row r="8" spans="1:39" ht="24" x14ac:dyDescent="0.2">
      <c r="A8" s="116" t="str">
        <f>OVERALL!G$1</f>
        <v>ING</v>
      </c>
      <c r="B8" s="140">
        <f>OVERALL!G3</f>
        <v>6.3425595238095211E-2</v>
      </c>
      <c r="C8" s="149">
        <f>OVERALL!G$4</f>
        <v>0.34791666666666665</v>
      </c>
      <c r="D8" s="142">
        <f>OVERALL!G$6</f>
        <v>0</v>
      </c>
      <c r="E8" s="150">
        <f>OVERALL!G$7</f>
        <v>0</v>
      </c>
      <c r="F8" s="151">
        <f>OVERALL!G$8</f>
        <v>0</v>
      </c>
      <c r="G8" s="152">
        <f>OVERALL!G$9</f>
        <v>0</v>
      </c>
      <c r="H8" s="153">
        <f>OVERALL!G$10</f>
        <v>0</v>
      </c>
      <c r="I8" s="143">
        <f>OVERALL!G$12</f>
        <v>0.33333333333333331</v>
      </c>
      <c r="J8" s="152">
        <f>OVERALL!G$13</f>
        <v>0</v>
      </c>
      <c r="K8" s="154">
        <f>OVERALL!G$14</f>
        <v>1</v>
      </c>
      <c r="L8" s="155">
        <f>OVERALL!G$15</f>
        <v>0</v>
      </c>
      <c r="M8" s="145">
        <f>OVERALL!G$17</f>
        <v>0.625</v>
      </c>
      <c r="N8" s="152">
        <f>OVERALL!G$18</f>
        <v>0.5</v>
      </c>
      <c r="O8" s="154">
        <f>OVERALL!G$19</f>
        <v>0</v>
      </c>
      <c r="P8" s="154">
        <f>OVERALL!G$20</f>
        <v>1</v>
      </c>
      <c r="Q8" s="155">
        <f>OVERALL!G$21</f>
        <v>1</v>
      </c>
      <c r="R8" s="146">
        <f>OVERALL!G$23</f>
        <v>0.33333333333333331</v>
      </c>
      <c r="S8" s="156">
        <f>OVERALL!G$24</f>
        <v>0.5</v>
      </c>
      <c r="T8" s="153">
        <f>OVERALL!G$25</f>
        <v>0</v>
      </c>
      <c r="U8" s="153">
        <f>OVERALL!G$26</f>
        <v>0.5</v>
      </c>
      <c r="V8" s="148">
        <f>OVERALL!G$28</f>
        <v>0.375</v>
      </c>
      <c r="W8" s="156">
        <f>OVERALL!G$29</f>
        <v>1</v>
      </c>
      <c r="X8" s="153">
        <f>OVERALL!G$30</f>
        <v>0</v>
      </c>
      <c r="Y8" s="153">
        <f>OVERALL!G$31</f>
        <v>0.5</v>
      </c>
      <c r="Z8" s="153">
        <f>OVERALL!G$32</f>
        <v>0</v>
      </c>
      <c r="AA8" s="72"/>
      <c r="AB8" s="154">
        <f>OVERALL!G$34</f>
        <v>0</v>
      </c>
      <c r="AC8" s="154">
        <f>OVERALL!$G$35</f>
        <v>0</v>
      </c>
      <c r="AD8" s="154">
        <f>OVERALL!$G$36</f>
        <v>0</v>
      </c>
      <c r="AE8" s="73"/>
      <c r="AF8" s="157">
        <f>OVERALL!G$39</f>
        <v>0.33333333333333331</v>
      </c>
      <c r="AG8" s="284">
        <f>OVERALL!G$40</f>
        <v>3.6458333333333334E-3</v>
      </c>
      <c r="AH8" s="158">
        <f>OVERALL!G$41</f>
        <v>3.5</v>
      </c>
      <c r="AI8" s="154">
        <f>OVERALL!G$42</f>
        <v>1</v>
      </c>
      <c r="AJ8" s="154">
        <f>OVERALL!G$43</f>
        <v>0.5</v>
      </c>
      <c r="AK8" s="154">
        <f>OVERALL!G$44</f>
        <v>1</v>
      </c>
      <c r="AL8" s="154">
        <f>OVERALL!G$45</f>
        <v>1</v>
      </c>
      <c r="AM8" s="284">
        <f>OVERALL!G71</f>
        <v>1.0931712962962963E-2</v>
      </c>
    </row>
    <row r="9" spans="1:39" ht="24" x14ac:dyDescent="0.2">
      <c r="A9" s="116" t="str">
        <f>OVERALL!H$1</f>
        <v>NAB</v>
      </c>
      <c r="B9" s="140">
        <f>OVERALL!H3</f>
        <v>0.55417261904761905</v>
      </c>
      <c r="C9" s="141">
        <f>OVERALL!H$4</f>
        <v>0.6183333333333334</v>
      </c>
      <c r="D9" s="142">
        <f>OVERALL!H$6</f>
        <v>0.5</v>
      </c>
      <c r="E9" s="70">
        <f>OVERALL!H$7</f>
        <v>1</v>
      </c>
      <c r="F9" s="71">
        <f>OVERALL!H$8</f>
        <v>0.2</v>
      </c>
      <c r="G9" s="81">
        <f>OVERALL!H$9</f>
        <v>0.8</v>
      </c>
      <c r="H9" s="83">
        <f>OVERALL!H$10</f>
        <v>0</v>
      </c>
      <c r="I9" s="143">
        <f>OVERALL!H$12</f>
        <v>0.46666666666666662</v>
      </c>
      <c r="J9" s="81">
        <f>OVERALL!H$13</f>
        <v>0</v>
      </c>
      <c r="K9" s="82">
        <f>OVERALL!H$14</f>
        <v>1</v>
      </c>
      <c r="L9" s="144">
        <f>OVERALL!H$15</f>
        <v>0.4</v>
      </c>
      <c r="M9" s="145">
        <f>OVERALL!H$17</f>
        <v>0.7</v>
      </c>
      <c r="N9" s="81">
        <f>OVERALL!H$18</f>
        <v>0.6</v>
      </c>
      <c r="O9" s="82">
        <f>OVERALL!H$19</f>
        <v>0.2</v>
      </c>
      <c r="P9" s="82">
        <f>OVERALL!H$20</f>
        <v>1</v>
      </c>
      <c r="Q9" s="144">
        <f>OVERALL!H$21</f>
        <v>1</v>
      </c>
      <c r="R9" s="146">
        <f>OVERALL!H$23</f>
        <v>0.73333333333333339</v>
      </c>
      <c r="S9" s="147">
        <f>OVERALL!H$24</f>
        <v>0.6</v>
      </c>
      <c r="T9" s="83">
        <f>OVERALL!H$25</f>
        <v>0.6</v>
      </c>
      <c r="U9" s="83">
        <f>OVERALL!H$26</f>
        <v>1</v>
      </c>
      <c r="V9" s="148">
        <f>OVERALL!H$28</f>
        <v>0.70000000000000007</v>
      </c>
      <c r="W9" s="147">
        <f>OVERALL!H$29</f>
        <v>1</v>
      </c>
      <c r="X9" s="83">
        <f>OVERALL!H$30</f>
        <v>0.8</v>
      </c>
      <c r="Y9" s="83">
        <f>OVERALL!H$31</f>
        <v>0.4</v>
      </c>
      <c r="Z9" s="83">
        <f>OVERALL!H$32</f>
        <v>0.6</v>
      </c>
      <c r="AA9" s="72"/>
      <c r="AB9" s="82">
        <f>OVERALL!H$34</f>
        <v>0</v>
      </c>
      <c r="AC9" s="82">
        <f>OVERALL!$H$35</f>
        <v>0</v>
      </c>
      <c r="AD9" s="82">
        <f>OVERALL!$H$36</f>
        <v>0</v>
      </c>
      <c r="AE9" s="73"/>
      <c r="AF9" s="84">
        <f>OVERALL!H$39</f>
        <v>0.83333333333333337</v>
      </c>
      <c r="AG9" s="283">
        <f>OVERALL!H$40</f>
        <v>6.4675925925925925E-3</v>
      </c>
      <c r="AH9" s="85">
        <f>OVERALL!H$41</f>
        <v>5.6</v>
      </c>
      <c r="AI9" s="82">
        <f>OVERALL!H$42</f>
        <v>0.8</v>
      </c>
      <c r="AJ9" s="82">
        <f>OVERALL!H$43</f>
        <v>0.6</v>
      </c>
      <c r="AK9" s="82">
        <f>OVERALL!H$44</f>
        <v>1</v>
      </c>
      <c r="AL9" s="82">
        <f>OVERALL!H$45</f>
        <v>0.8</v>
      </c>
      <c r="AM9" s="283">
        <f>OVERALL!H71</f>
        <v>1.0408564814814815E-2</v>
      </c>
    </row>
    <row r="10" spans="1:39" ht="24" x14ac:dyDescent="0.2">
      <c r="A10" s="116" t="str">
        <f>OVERALL!I$1</f>
        <v>WESTPAC</v>
      </c>
      <c r="B10" s="140">
        <f>OVERALL!I3</f>
        <v>1.2833333333333308E-2</v>
      </c>
      <c r="C10" s="149">
        <f>OVERALL!I$4</f>
        <v>0.42916666666666664</v>
      </c>
      <c r="D10" s="142">
        <f>OVERALL!I$6</f>
        <v>0.5</v>
      </c>
      <c r="E10" s="150">
        <f>OVERALL!I$7</f>
        <v>1</v>
      </c>
      <c r="F10" s="151">
        <f>OVERALL!I$8</f>
        <v>0</v>
      </c>
      <c r="G10" s="152">
        <f>OVERALL!I$9</f>
        <v>1</v>
      </c>
      <c r="H10" s="153">
        <f>OVERALL!I$10</f>
        <v>0</v>
      </c>
      <c r="I10" s="143">
        <f>OVERALL!I$12</f>
        <v>0.33333333333333331</v>
      </c>
      <c r="J10" s="152">
        <f>OVERALL!I$13</f>
        <v>0</v>
      </c>
      <c r="K10" s="154">
        <f>OVERALL!I$14</f>
        <v>1</v>
      </c>
      <c r="L10" s="155">
        <f>OVERALL!I$15</f>
        <v>0</v>
      </c>
      <c r="M10" s="145">
        <f>OVERALL!I$17</f>
        <v>0.25</v>
      </c>
      <c r="N10" s="152">
        <f>OVERALL!I$18</f>
        <v>1</v>
      </c>
      <c r="O10" s="154">
        <f>OVERALL!I$19</f>
        <v>0</v>
      </c>
      <c r="P10" s="154">
        <f>OVERALL!I$20</f>
        <v>0</v>
      </c>
      <c r="Q10" s="155">
        <f>OVERALL!I$21</f>
        <v>0</v>
      </c>
      <c r="R10" s="146">
        <f>OVERALL!I$23</f>
        <v>1</v>
      </c>
      <c r="S10" s="156">
        <f>OVERALL!I$24</f>
        <v>1</v>
      </c>
      <c r="T10" s="153">
        <f>OVERALL!I$25</f>
        <v>1</v>
      </c>
      <c r="U10" s="153">
        <f>OVERALL!I$26</f>
        <v>1</v>
      </c>
      <c r="V10" s="148">
        <f>OVERALL!I$28</f>
        <v>0.25</v>
      </c>
      <c r="W10" s="156">
        <f>OVERALL!I$29</f>
        <v>1</v>
      </c>
      <c r="X10" s="153">
        <f>OVERALL!I$30</f>
        <v>0</v>
      </c>
      <c r="Y10" s="153">
        <f>OVERALL!I$31</f>
        <v>0</v>
      </c>
      <c r="Z10" s="153">
        <f>OVERALL!I$32</f>
        <v>0</v>
      </c>
      <c r="AA10" s="72"/>
      <c r="AB10" s="154">
        <f>OVERALL!I$34</f>
        <v>0</v>
      </c>
      <c r="AC10" s="154">
        <f>OVERALL!$I$35</f>
        <v>0</v>
      </c>
      <c r="AD10" s="154">
        <f>OVERALL!$I$36</f>
        <v>0</v>
      </c>
      <c r="AE10" s="73"/>
      <c r="AF10" s="157">
        <f>OVERALL!I$39</f>
        <v>0.16666666666666666</v>
      </c>
      <c r="AG10" s="284">
        <f>OVERALL!I$40</f>
        <v>5.2430555555555555E-3</v>
      </c>
      <c r="AH10" s="158">
        <f>OVERALL!I$41</f>
        <v>4</v>
      </c>
      <c r="AI10" s="154">
        <f>OVERALL!I$42</f>
        <v>1</v>
      </c>
      <c r="AJ10" s="154">
        <f>OVERALL!I$43</f>
        <v>1</v>
      </c>
      <c r="AK10" s="154">
        <f>OVERALL!I$44</f>
        <v>1</v>
      </c>
      <c r="AL10" s="154">
        <f>OVERALL!I$45</f>
        <v>0</v>
      </c>
      <c r="AM10" s="284">
        <f>OVERALL!I71</f>
        <v>6.603009259259259E-3</v>
      </c>
    </row>
    <row r="11" spans="1:39" ht="24" x14ac:dyDescent="0.2">
      <c r="A11" s="116" t="str">
        <f>OVERALL!J$1</f>
        <v>BANK AUSTRALIA</v>
      </c>
      <c r="B11" s="140">
        <f>OVERALL!J3</f>
        <v>0.513797619047619</v>
      </c>
      <c r="C11" s="149">
        <f>OVERALL!J$4</f>
        <v>0.51083333333333325</v>
      </c>
      <c r="D11" s="142">
        <f>OVERALL!J$6</f>
        <v>0.2</v>
      </c>
      <c r="E11" s="150">
        <f>OVERALL!J$7</f>
        <v>0.6</v>
      </c>
      <c r="F11" s="151">
        <f>OVERALL!J$8</f>
        <v>0.2</v>
      </c>
      <c r="G11" s="152">
        <f>OVERALL!J$9</f>
        <v>0</v>
      </c>
      <c r="H11" s="153">
        <f>OVERALL!J$10</f>
        <v>0</v>
      </c>
      <c r="I11" s="143">
        <f>OVERALL!J$12</f>
        <v>0.46666666666666662</v>
      </c>
      <c r="J11" s="152">
        <f>OVERALL!J$13</f>
        <v>0</v>
      </c>
      <c r="K11" s="154">
        <f>OVERALL!J$14</f>
        <v>1</v>
      </c>
      <c r="L11" s="155">
        <f>OVERALL!J$15</f>
        <v>0.4</v>
      </c>
      <c r="M11" s="145">
        <f>OVERALL!J$17</f>
        <v>0.55000000000000004</v>
      </c>
      <c r="N11" s="152">
        <f>OVERALL!J$18</f>
        <v>0.6</v>
      </c>
      <c r="O11" s="154">
        <f>OVERALL!J$19</f>
        <v>0.2</v>
      </c>
      <c r="P11" s="154">
        <f>OVERALL!J$20</f>
        <v>0.6</v>
      </c>
      <c r="Q11" s="155">
        <f>OVERALL!J$21</f>
        <v>0.8</v>
      </c>
      <c r="R11" s="146">
        <f>OVERALL!J$23</f>
        <v>0.66666666666666663</v>
      </c>
      <c r="S11" s="156">
        <f>OVERALL!J$24</f>
        <v>0.8</v>
      </c>
      <c r="T11" s="153">
        <f>OVERALL!J$25</f>
        <v>0.2</v>
      </c>
      <c r="U11" s="153">
        <f>OVERALL!J$26</f>
        <v>1</v>
      </c>
      <c r="V11" s="148">
        <f>OVERALL!J$28</f>
        <v>0.7</v>
      </c>
      <c r="W11" s="156">
        <f>OVERALL!J$29</f>
        <v>1</v>
      </c>
      <c r="X11" s="153">
        <f>OVERALL!J$30</f>
        <v>0.6</v>
      </c>
      <c r="Y11" s="153">
        <f>OVERALL!J$31</f>
        <v>0.4</v>
      </c>
      <c r="Z11" s="153">
        <f>OVERALL!J$32</f>
        <v>0.8</v>
      </c>
      <c r="AA11" s="72"/>
      <c r="AB11" s="154">
        <f>OVERALL!J$34</f>
        <v>0</v>
      </c>
      <c r="AC11" s="154">
        <f>OVERALL!$J$35</f>
        <v>0</v>
      </c>
      <c r="AD11" s="154">
        <f>OVERALL!$J$36</f>
        <v>0</v>
      </c>
      <c r="AE11" s="73"/>
      <c r="AF11" s="157">
        <f>OVERALL!J$39</f>
        <v>1</v>
      </c>
      <c r="AG11" s="284">
        <f>OVERALL!J$40</f>
        <v>3.8124999999999999E-3</v>
      </c>
      <c r="AH11" s="158">
        <f>OVERALL!J$41</f>
        <v>4.5999999999999996</v>
      </c>
      <c r="AI11" s="154">
        <f>OVERALL!J$42</f>
        <v>0.8</v>
      </c>
      <c r="AJ11" s="154">
        <f>OVERALL!J$43</f>
        <v>0.8</v>
      </c>
      <c r="AK11" s="154">
        <f>OVERALL!J$44</f>
        <v>1</v>
      </c>
      <c r="AL11" s="154">
        <f>OVERALL!J$45</f>
        <v>0.8</v>
      </c>
      <c r="AM11" s="284">
        <f>OVERALL!J71</f>
        <v>8.1087962962962962E-3</v>
      </c>
    </row>
    <row r="12" spans="1:39" ht="24" x14ac:dyDescent="0.2">
      <c r="A12" s="116" t="str">
        <f>OVERALL!K$1</f>
        <v>GREAT SOUTHERN BANK</v>
      </c>
      <c r="B12" s="140">
        <f>OVERALL!K3</f>
        <v>0.37867559523809524</v>
      </c>
      <c r="C12" s="149">
        <f>OVERALL!K$4</f>
        <v>0.47083333333333333</v>
      </c>
      <c r="D12" s="142">
        <f>OVERALL!K$6</f>
        <v>0.375</v>
      </c>
      <c r="E12" s="150">
        <f>OVERALL!K$7</f>
        <v>1</v>
      </c>
      <c r="F12" s="151">
        <f>OVERALL!K$8</f>
        <v>0</v>
      </c>
      <c r="G12" s="152">
        <f>OVERALL!K$9</f>
        <v>0.5</v>
      </c>
      <c r="H12" s="153">
        <f>OVERALL!K$10</f>
        <v>0</v>
      </c>
      <c r="I12" s="143">
        <f>OVERALL!K$12</f>
        <v>0.41666666666666669</v>
      </c>
      <c r="J12" s="152">
        <f>OVERALL!K$13</f>
        <v>0</v>
      </c>
      <c r="K12" s="154">
        <f>OVERALL!K$14</f>
        <v>1</v>
      </c>
      <c r="L12" s="155">
        <f>OVERALL!K$15</f>
        <v>0.25</v>
      </c>
      <c r="M12" s="145">
        <f>OVERALL!K$17</f>
        <v>0.5</v>
      </c>
      <c r="N12" s="152">
        <f>OVERALL!K$18</f>
        <v>0.25</v>
      </c>
      <c r="O12" s="154">
        <f>OVERALL!K$19</f>
        <v>0.25</v>
      </c>
      <c r="P12" s="154">
        <f>OVERALL!K$20</f>
        <v>0.5</v>
      </c>
      <c r="Q12" s="155">
        <f>OVERALL!K$21</f>
        <v>1</v>
      </c>
      <c r="R12" s="146">
        <f>OVERALL!K$23</f>
        <v>0.58333333333333337</v>
      </c>
      <c r="S12" s="156">
        <f>OVERALL!K$24</f>
        <v>0.75</v>
      </c>
      <c r="T12" s="153">
        <f>OVERALL!K$25</f>
        <v>0.25</v>
      </c>
      <c r="U12" s="153">
        <f>OVERALL!K$26</f>
        <v>0.75</v>
      </c>
      <c r="V12" s="148">
        <f>OVERALL!K$28</f>
        <v>0.5</v>
      </c>
      <c r="W12" s="156">
        <f>OVERALL!K$29</f>
        <v>1</v>
      </c>
      <c r="X12" s="153">
        <f>OVERALL!K$30</f>
        <v>0.5</v>
      </c>
      <c r="Y12" s="153">
        <f>OVERALL!K$31</f>
        <v>0.25</v>
      </c>
      <c r="Z12" s="153">
        <f>OVERALL!K$32</f>
        <v>0.25</v>
      </c>
      <c r="AA12" s="72"/>
      <c r="AB12" s="154">
        <f>OVERALL!K$34</f>
        <v>0</v>
      </c>
      <c r="AC12" s="154">
        <f>OVERALL!$K$35</f>
        <v>0</v>
      </c>
      <c r="AD12" s="154">
        <f>OVERALL!$K$36</f>
        <v>0</v>
      </c>
      <c r="AE12" s="73"/>
      <c r="AF12" s="157">
        <f>OVERALL!K$39</f>
        <v>0.66666666666666663</v>
      </c>
      <c r="AG12" s="284">
        <f>OVERALL!K$40</f>
        <v>2.9542824074074076E-3</v>
      </c>
      <c r="AH12" s="158">
        <f>OVERALL!K$41</f>
        <v>4.25</v>
      </c>
      <c r="AI12" s="154">
        <f>OVERALL!K$42</f>
        <v>0.75</v>
      </c>
      <c r="AJ12" s="154">
        <f>OVERALL!K$43</f>
        <v>0.75</v>
      </c>
      <c r="AK12" s="154">
        <f>OVERALL!K$44</f>
        <v>0.5</v>
      </c>
      <c r="AL12" s="154">
        <f>OVERALL!K$45</f>
        <v>0.75</v>
      </c>
      <c r="AM12" s="284">
        <f>OVERALL!K71</f>
        <v>6.9087577160493827E-3</v>
      </c>
    </row>
    <row r="13" spans="1:39" ht="24" x14ac:dyDescent="0.2">
      <c r="A13" s="116" t="str">
        <f>OVERALL!L$1</f>
        <v>HUME BANK</v>
      </c>
      <c r="B13" s="140">
        <f>OVERALL!L3</f>
        <v>0.74802579365079369</v>
      </c>
      <c r="C13" s="149">
        <f>OVERALL!L$4</f>
        <v>0.68680555555555556</v>
      </c>
      <c r="D13" s="142">
        <f>OVERALL!L$6</f>
        <v>0.54166666666666674</v>
      </c>
      <c r="E13" s="150">
        <f>OVERALL!L$7</f>
        <v>1</v>
      </c>
      <c r="F13" s="151">
        <f>OVERALL!L$8</f>
        <v>0.16666666666666666</v>
      </c>
      <c r="G13" s="152">
        <f>OVERALL!L$9</f>
        <v>1</v>
      </c>
      <c r="H13" s="153">
        <f>OVERALL!L$10</f>
        <v>0</v>
      </c>
      <c r="I13" s="143">
        <f>OVERALL!L$12</f>
        <v>0.44444444444444448</v>
      </c>
      <c r="J13" s="152">
        <f>OVERALL!L$13</f>
        <v>0.16666666666666666</v>
      </c>
      <c r="K13" s="154">
        <f>OVERALL!L$14</f>
        <v>1</v>
      </c>
      <c r="L13" s="155">
        <f>OVERALL!L$15</f>
        <v>0.16666666666666666</v>
      </c>
      <c r="M13" s="145">
        <f>OVERALL!L$17</f>
        <v>0.79166666666666663</v>
      </c>
      <c r="N13" s="152">
        <f>OVERALL!L$18</f>
        <v>0.66666666666666663</v>
      </c>
      <c r="O13" s="154">
        <f>OVERALL!L$19</f>
        <v>0.5</v>
      </c>
      <c r="P13" s="154">
        <f>OVERALL!L$20</f>
        <v>1</v>
      </c>
      <c r="Q13" s="155">
        <f>OVERALL!L$21</f>
        <v>1</v>
      </c>
      <c r="R13" s="146">
        <f>OVERALL!L$23</f>
        <v>0.77777777777777768</v>
      </c>
      <c r="S13" s="156">
        <f>OVERALL!L$24</f>
        <v>1</v>
      </c>
      <c r="T13" s="153">
        <f>OVERALL!L$25</f>
        <v>0.33333333333333331</v>
      </c>
      <c r="U13" s="153">
        <f>OVERALL!L$26</f>
        <v>1</v>
      </c>
      <c r="V13" s="148">
        <f>OVERALL!L$28</f>
        <v>0.875</v>
      </c>
      <c r="W13" s="156">
        <f>OVERALL!L$29</f>
        <v>1</v>
      </c>
      <c r="X13" s="153">
        <f>OVERALL!L$30</f>
        <v>0.66666666666666663</v>
      </c>
      <c r="Y13" s="153">
        <f>OVERALL!L$31</f>
        <v>1</v>
      </c>
      <c r="Z13" s="153">
        <f>OVERALL!L$32</f>
        <v>0.83333333333333337</v>
      </c>
      <c r="AA13" s="72"/>
      <c r="AB13" s="154">
        <f>OVERALL!L$34</f>
        <v>0</v>
      </c>
      <c r="AC13" s="154">
        <f>OVERALL!$L$35</f>
        <v>0</v>
      </c>
      <c r="AD13" s="154">
        <f>OVERALL!$L$36</f>
        <v>0</v>
      </c>
      <c r="AE13" s="73"/>
      <c r="AF13" s="157">
        <f>OVERALL!L$39</f>
        <v>1</v>
      </c>
      <c r="AG13" s="284">
        <f>OVERALL!L$40</f>
        <v>2.6215277777777777E-3</v>
      </c>
      <c r="AH13" s="158">
        <f>OVERALL!L$41</f>
        <v>6.333333333333333</v>
      </c>
      <c r="AI13" s="154">
        <f>OVERALL!L$42</f>
        <v>0.83333333333333337</v>
      </c>
      <c r="AJ13" s="154">
        <f>OVERALL!L$43</f>
        <v>0.33333333333333331</v>
      </c>
      <c r="AK13" s="154">
        <f>OVERALL!L$44</f>
        <v>1</v>
      </c>
      <c r="AL13" s="154">
        <f>OVERALL!L$45</f>
        <v>0.83333333333333337</v>
      </c>
      <c r="AM13" s="284">
        <f>OVERALL!L71</f>
        <v>3.7731481481481479E-3</v>
      </c>
    </row>
    <row r="14" spans="1:39" ht="24" x14ac:dyDescent="0.2">
      <c r="A14" s="116" t="str">
        <f>OVERALL!M$1</f>
        <v>BANK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85" t="s">
        <v>77</v>
      </c>
      <c r="AH14" s="158" t="s">
        <v>77</v>
      </c>
      <c r="AI14" s="154" t="s">
        <v>77</v>
      </c>
      <c r="AJ14" s="154" t="s">
        <v>77</v>
      </c>
      <c r="AK14" s="154" t="s">
        <v>77</v>
      </c>
      <c r="AL14" s="154" t="s">
        <v>77</v>
      </c>
      <c r="AM14" s="285" t="s">
        <v>77</v>
      </c>
    </row>
    <row r="15" spans="1:39" ht="24" x14ac:dyDescent="0.2">
      <c r="A15" s="116" t="str">
        <f>OVERALL!N$1</f>
        <v>BANK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86" t="s">
        <v>77</v>
      </c>
      <c r="AH15" s="85" t="s">
        <v>77</v>
      </c>
      <c r="AI15" s="82" t="s">
        <v>77</v>
      </c>
      <c r="AJ15" s="82" t="s">
        <v>77</v>
      </c>
      <c r="AK15" s="82" t="s">
        <v>77</v>
      </c>
      <c r="AL15" s="82" t="s">
        <v>77</v>
      </c>
      <c r="AM15" s="286" t="s">
        <v>77</v>
      </c>
    </row>
    <row r="16" spans="1:39" ht="24" x14ac:dyDescent="0.2">
      <c r="A16" s="116" t="str">
        <f>OVERALL!O$1</f>
        <v>BANK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85" t="s">
        <v>77</v>
      </c>
      <c r="AH16" s="158" t="s">
        <v>77</v>
      </c>
      <c r="AI16" s="154" t="s">
        <v>77</v>
      </c>
      <c r="AJ16" s="154" t="s">
        <v>77</v>
      </c>
      <c r="AK16" s="154" t="s">
        <v>77</v>
      </c>
      <c r="AL16" s="154" t="s">
        <v>77</v>
      </c>
      <c r="AM16" s="285" t="s">
        <v>77</v>
      </c>
    </row>
    <row r="17" spans="1:39" ht="24" x14ac:dyDescent="0.2">
      <c r="A17" s="116" t="str">
        <f>OVERALL!P$1</f>
        <v>BANK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86" t="s">
        <v>77</v>
      </c>
      <c r="AH17" s="85" t="s">
        <v>77</v>
      </c>
      <c r="AI17" s="82" t="s">
        <v>77</v>
      </c>
      <c r="AJ17" s="82" t="s">
        <v>77</v>
      </c>
      <c r="AK17" s="82" t="s">
        <v>77</v>
      </c>
      <c r="AL17" s="82" t="s">
        <v>77</v>
      </c>
      <c r="AM17" s="286" t="s">
        <v>77</v>
      </c>
    </row>
    <row r="18" spans="1:39" ht="24" x14ac:dyDescent="0.2">
      <c r="A18" s="116" t="str">
        <f>OVERALL!Q$1</f>
        <v>BANK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85" t="s">
        <v>77</v>
      </c>
      <c r="AH18" s="158" t="s">
        <v>77</v>
      </c>
      <c r="AI18" s="154" t="s">
        <v>77</v>
      </c>
      <c r="AJ18" s="154" t="s">
        <v>77</v>
      </c>
      <c r="AK18" s="154" t="s">
        <v>77</v>
      </c>
      <c r="AL18" s="154" t="s">
        <v>77</v>
      </c>
      <c r="AM18" s="285" t="s">
        <v>77</v>
      </c>
    </row>
    <row r="19" spans="1:39" ht="24" x14ac:dyDescent="0.2">
      <c r="A19" s="116" t="str">
        <f>OVERALL!R$1</f>
        <v>BANK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86" t="s">
        <v>77</v>
      </c>
      <c r="AH19" s="85" t="s">
        <v>77</v>
      </c>
      <c r="AI19" s="82" t="s">
        <v>77</v>
      </c>
      <c r="AJ19" s="82" t="s">
        <v>77</v>
      </c>
      <c r="AK19" s="82" t="s">
        <v>77</v>
      </c>
      <c r="AL19" s="82" t="s">
        <v>77</v>
      </c>
      <c r="AM19" s="286" t="s">
        <v>77</v>
      </c>
    </row>
    <row r="20" spans="1:39" ht="24" x14ac:dyDescent="0.2">
      <c r="A20" s="116" t="str">
        <f>OVERALL!S$1</f>
        <v>BANK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85" t="s">
        <v>77</v>
      </c>
      <c r="AH20" s="158" t="s">
        <v>77</v>
      </c>
      <c r="AI20" s="154" t="s">
        <v>77</v>
      </c>
      <c r="AJ20" s="154" t="s">
        <v>77</v>
      </c>
      <c r="AK20" s="154" t="s">
        <v>77</v>
      </c>
      <c r="AL20" s="154" t="s">
        <v>77</v>
      </c>
      <c r="AM20" s="285" t="s">
        <v>77</v>
      </c>
    </row>
    <row r="21" spans="1:39" ht="24" x14ac:dyDescent="0.2">
      <c r="A21" s="116" t="str">
        <f>OVERALL!T$1</f>
        <v>BANK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86" t="s">
        <v>77</v>
      </c>
      <c r="AH21" s="85" t="s">
        <v>77</v>
      </c>
      <c r="AI21" s="82" t="s">
        <v>77</v>
      </c>
      <c r="AJ21" s="82" t="s">
        <v>77</v>
      </c>
      <c r="AK21" s="82" t="s">
        <v>77</v>
      </c>
      <c r="AL21" s="82" t="s">
        <v>77</v>
      </c>
      <c r="AM21" s="286" t="s">
        <v>77</v>
      </c>
    </row>
    <row r="22" spans="1:39" ht="24" x14ac:dyDescent="0.2">
      <c r="A22" s="116" t="str">
        <f>OVERALL!U$1</f>
        <v>BANK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85" t="s">
        <v>77</v>
      </c>
      <c r="AH22" s="158" t="s">
        <v>77</v>
      </c>
      <c r="AI22" s="154" t="s">
        <v>77</v>
      </c>
      <c r="AJ22" s="154" t="s">
        <v>77</v>
      </c>
      <c r="AK22" s="154" t="s">
        <v>77</v>
      </c>
      <c r="AL22" s="154" t="s">
        <v>77</v>
      </c>
      <c r="AM22" s="285" t="s">
        <v>77</v>
      </c>
    </row>
    <row r="23" spans="1:39" ht="24" x14ac:dyDescent="0.2">
      <c r="A23" s="116" t="str">
        <f>OVERALL!V$1</f>
        <v>BANK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86" t="s">
        <v>77</v>
      </c>
      <c r="AH23" s="85" t="s">
        <v>77</v>
      </c>
      <c r="AI23" s="82" t="s">
        <v>77</v>
      </c>
      <c r="AJ23" s="82" t="s">
        <v>77</v>
      </c>
      <c r="AK23" s="82" t="s">
        <v>77</v>
      </c>
      <c r="AL23" s="82" t="s">
        <v>77</v>
      </c>
      <c r="AM23" s="286" t="s">
        <v>77</v>
      </c>
    </row>
    <row r="24" spans="1:39" ht="24" x14ac:dyDescent="0.2">
      <c r="A24" s="116" t="str">
        <f>OVERALL!W$1</f>
        <v>BANK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85" t="s">
        <v>77</v>
      </c>
      <c r="AH24" s="158" t="s">
        <v>77</v>
      </c>
      <c r="AI24" s="154" t="s">
        <v>77</v>
      </c>
      <c r="AJ24" s="154" t="s">
        <v>77</v>
      </c>
      <c r="AK24" s="154" t="s">
        <v>77</v>
      </c>
      <c r="AL24" s="154" t="s">
        <v>77</v>
      </c>
      <c r="AM24" s="285" t="s">
        <v>77</v>
      </c>
    </row>
    <row r="25" spans="1:39" ht="24" x14ac:dyDescent="0.2">
      <c r="A25" s="116" t="str">
        <f>OVERALL!X$1</f>
        <v>BANK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86" t="s">
        <v>77</v>
      </c>
      <c r="AH25" s="85" t="s">
        <v>77</v>
      </c>
      <c r="AI25" s="82" t="s">
        <v>77</v>
      </c>
      <c r="AJ25" s="82" t="s">
        <v>77</v>
      </c>
      <c r="AK25" s="82" t="s">
        <v>77</v>
      </c>
      <c r="AL25" s="82" t="s">
        <v>77</v>
      </c>
      <c r="AM25" s="286" t="s">
        <v>77</v>
      </c>
    </row>
    <row r="26" spans="1:39" ht="24" x14ac:dyDescent="0.2">
      <c r="A26" s="116" t="str">
        <f>OVERALL!Y$1</f>
        <v>BANK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85" t="s">
        <v>77</v>
      </c>
      <c r="AH26" s="158" t="s">
        <v>77</v>
      </c>
      <c r="AI26" s="154" t="s">
        <v>77</v>
      </c>
      <c r="AJ26" s="154" t="s">
        <v>77</v>
      </c>
      <c r="AK26" s="154" t="s">
        <v>77</v>
      </c>
      <c r="AL26" s="154" t="s">
        <v>77</v>
      </c>
      <c r="AM26" s="285" t="s">
        <v>77</v>
      </c>
    </row>
    <row r="27" spans="1:39" ht="24" x14ac:dyDescent="0.2">
      <c r="A27" s="116" t="str">
        <f>OVERALL!Z$1</f>
        <v>BANK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86" t="s">
        <v>77</v>
      </c>
      <c r="AH27" s="85" t="s">
        <v>77</v>
      </c>
      <c r="AI27" s="82" t="s">
        <v>77</v>
      </c>
      <c r="AJ27" s="82" t="s">
        <v>77</v>
      </c>
      <c r="AK27" s="82" t="s">
        <v>77</v>
      </c>
      <c r="AL27" s="82" t="s">
        <v>77</v>
      </c>
      <c r="AM27" s="286" t="s">
        <v>77</v>
      </c>
    </row>
    <row r="28" spans="1:39" ht="24" x14ac:dyDescent="0.2">
      <c r="A28" s="116" t="str">
        <f>OVERALL!AA$1</f>
        <v>BANK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85" t="s">
        <v>77</v>
      </c>
      <c r="AH28" s="158" t="s">
        <v>77</v>
      </c>
      <c r="AI28" s="154" t="s">
        <v>77</v>
      </c>
      <c r="AJ28" s="154" t="s">
        <v>77</v>
      </c>
      <c r="AK28" s="154" t="s">
        <v>77</v>
      </c>
      <c r="AL28" s="154" t="s">
        <v>77</v>
      </c>
      <c r="AM28" s="285" t="s">
        <v>77</v>
      </c>
    </row>
    <row r="29" spans="1:39" ht="24" x14ac:dyDescent="0.2">
      <c r="A29" s="116" t="str">
        <f>OVERALL!AB$1</f>
        <v>BANK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86" t="s">
        <v>77</v>
      </c>
      <c r="AH29" s="85" t="s">
        <v>77</v>
      </c>
      <c r="AI29" s="82" t="s">
        <v>77</v>
      </c>
      <c r="AJ29" s="82" t="s">
        <v>77</v>
      </c>
      <c r="AK29" s="82" t="s">
        <v>77</v>
      </c>
      <c r="AL29" s="82" t="s">
        <v>77</v>
      </c>
      <c r="AM29" s="286" t="s">
        <v>77</v>
      </c>
    </row>
    <row r="30" spans="1:39" ht="24" x14ac:dyDescent="0.2">
      <c r="A30" s="116" t="str">
        <f>OVERALL!AC$1</f>
        <v>BANK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85" t="s">
        <v>77</v>
      </c>
      <c r="AH30" s="158" t="s">
        <v>77</v>
      </c>
      <c r="AI30" s="154" t="s">
        <v>77</v>
      </c>
      <c r="AJ30" s="154" t="s">
        <v>77</v>
      </c>
      <c r="AK30" s="154" t="s">
        <v>77</v>
      </c>
      <c r="AL30" s="154" t="s">
        <v>77</v>
      </c>
      <c r="AM30" s="285" t="s">
        <v>77</v>
      </c>
    </row>
    <row r="31" spans="1:39" ht="24" x14ac:dyDescent="0.2">
      <c r="A31" s="116" t="str">
        <f>OVERALL!AD$1</f>
        <v>BANK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86" t="s">
        <v>77</v>
      </c>
      <c r="AH31" s="85" t="s">
        <v>77</v>
      </c>
      <c r="AI31" s="82" t="s">
        <v>77</v>
      </c>
      <c r="AJ31" s="82" t="s">
        <v>77</v>
      </c>
      <c r="AK31" s="82" t="s">
        <v>77</v>
      </c>
      <c r="AL31" s="82" t="s">
        <v>77</v>
      </c>
      <c r="AM31" s="286" t="s">
        <v>77</v>
      </c>
    </row>
    <row r="32" spans="1:39" ht="24" x14ac:dyDescent="0.2">
      <c r="A32" s="116" t="str">
        <f>OVERALL!AE$1</f>
        <v>BANK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85" t="s">
        <v>77</v>
      </c>
      <c r="AH32" s="158" t="s">
        <v>77</v>
      </c>
      <c r="AI32" s="154" t="s">
        <v>77</v>
      </c>
      <c r="AJ32" s="154" t="s">
        <v>77</v>
      </c>
      <c r="AK32" s="154" t="s">
        <v>77</v>
      </c>
      <c r="AL32" s="154" t="s">
        <v>77</v>
      </c>
      <c r="AM32" s="285" t="s">
        <v>77</v>
      </c>
    </row>
    <row r="33" spans="1:39" ht="24" x14ac:dyDescent="0.2">
      <c r="A33" s="116" t="str">
        <f>OVERALL!AF$1</f>
        <v>BANK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86" t="s">
        <v>77</v>
      </c>
      <c r="AH33" s="85" t="s">
        <v>77</v>
      </c>
      <c r="AI33" s="82" t="s">
        <v>77</v>
      </c>
      <c r="AJ33" s="82" t="s">
        <v>77</v>
      </c>
      <c r="AK33" s="82" t="s">
        <v>77</v>
      </c>
      <c r="AL33" s="82" t="s">
        <v>77</v>
      </c>
      <c r="AM33" s="286" t="s">
        <v>77</v>
      </c>
    </row>
    <row r="34" spans="1:39" ht="25" thickBot="1" x14ac:dyDescent="0.25">
      <c r="A34" s="116" t="str">
        <f>OVERALL!AG$1</f>
        <v>BANK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87" t="s">
        <v>77</v>
      </c>
      <c r="AH34" s="253" t="s">
        <v>77</v>
      </c>
      <c r="AI34" s="254" t="s">
        <v>77</v>
      </c>
      <c r="AJ34" s="254" t="s">
        <v>77</v>
      </c>
      <c r="AK34" s="254" t="s">
        <v>77</v>
      </c>
      <c r="AL34" s="254" t="s">
        <v>77</v>
      </c>
      <c r="AM34" s="287" t="s">
        <v>77</v>
      </c>
    </row>
    <row r="35" spans="1:39" s="184" customFormat="1" ht="44" customHeight="1" thickBot="1" x14ac:dyDescent="0.3">
      <c r="A35" s="165" t="s">
        <v>59</v>
      </c>
      <c r="B35" s="166">
        <f>OVERALL!B3</f>
        <v>0.40620943562610229</v>
      </c>
      <c r="C35" s="167">
        <f>OVERALL!B$4</f>
        <v>0.53016975308641978</v>
      </c>
      <c r="D35" s="168">
        <f>OVERALL!B$6</f>
        <v>0.37407407407407411</v>
      </c>
      <c r="E35" s="169">
        <f>OVERALL!B$7</f>
        <v>0.77037037037037037</v>
      </c>
      <c r="F35" s="170">
        <f>OVERALL!B$8</f>
        <v>0.19259259259259257</v>
      </c>
      <c r="G35" s="170">
        <f>OVERALL!B$9</f>
        <v>0.47777777777777775</v>
      </c>
      <c r="H35" s="171">
        <f>OVERALL!B$10</f>
        <v>5.5555555555555552E-2</v>
      </c>
      <c r="I35" s="172">
        <f>OVERALL!B$12</f>
        <v>0.43395061728395068</v>
      </c>
      <c r="J35" s="173">
        <f>OVERALL!B$13</f>
        <v>7.407407407407407E-2</v>
      </c>
      <c r="K35" s="174">
        <f>OVERALL!B$14</f>
        <v>0.98148148148148151</v>
      </c>
      <c r="L35" s="175">
        <f>OVERALL!B$15</f>
        <v>0.24629629629629626</v>
      </c>
      <c r="M35" s="176">
        <f>OVERALL!B$17</f>
        <v>0.6064814814814814</v>
      </c>
      <c r="N35" s="173">
        <f>OVERALL!B$18</f>
        <v>0.60555555555555562</v>
      </c>
      <c r="O35" s="174">
        <f>OVERALL!B$19</f>
        <v>0.22037037037037036</v>
      </c>
      <c r="P35" s="174">
        <f>OVERALL!B$20</f>
        <v>0.73333333333333328</v>
      </c>
      <c r="Q35" s="175">
        <f>OVERALL!B$21</f>
        <v>0.8666666666666667</v>
      </c>
      <c r="R35" s="177">
        <f>OVERALL!B$23</f>
        <v>0.65864197530864199</v>
      </c>
      <c r="S35" s="178">
        <f>OVERALL!B$24</f>
        <v>0.72037037037037033</v>
      </c>
      <c r="T35" s="179">
        <f>OVERALL!B$25</f>
        <v>0.33888888888888891</v>
      </c>
      <c r="U35" s="180">
        <f>OVERALL!B$26</f>
        <v>0.91666666666666663</v>
      </c>
      <c r="V35" s="181">
        <f>OVERALL!B$28</f>
        <v>0.59074074074074079</v>
      </c>
      <c r="W35" s="178">
        <f>OVERALL!B$29</f>
        <v>1</v>
      </c>
      <c r="X35" s="179">
        <f>OVERALL!B$30</f>
        <v>0.45185185185185184</v>
      </c>
      <c r="Y35" s="179">
        <f>OVERALL!B$31</f>
        <v>0.44999999999999996</v>
      </c>
      <c r="Z35" s="179">
        <f>OVERALL!B$32</f>
        <v>0.46111111111111103</v>
      </c>
      <c r="AA35" s="182"/>
      <c r="AB35" s="179">
        <f>OVERALL!B$34</f>
        <v>0</v>
      </c>
      <c r="AC35" s="179">
        <f>OVERALL!B$35</f>
        <v>0</v>
      </c>
      <c r="AD35" s="179">
        <f>OVERALL!B$36</f>
        <v>0</v>
      </c>
      <c r="AE35" s="251">
        <f>OVERALL!B$39</f>
        <v>0.70370370370370372</v>
      </c>
      <c r="AF35" s="255">
        <f>OVERALL!B$39</f>
        <v>0.70370370370370372</v>
      </c>
      <c r="AG35" s="291">
        <f>OVERALL!B40</f>
        <v>4.6209919410150901E-3</v>
      </c>
      <c r="AH35" s="183">
        <f>OVERALL!B$41</f>
        <v>4.8833333333333337</v>
      </c>
      <c r="AI35" s="179">
        <f>OVERALL!B$42</f>
        <v>0.77962962962962956</v>
      </c>
      <c r="AJ35" s="179">
        <f>OVERALL!B$43</f>
        <v>0.72037037037037033</v>
      </c>
      <c r="AK35" s="179">
        <f>OVERALL!B$44</f>
        <v>0.94444444444444442</v>
      </c>
      <c r="AL35" s="179">
        <f>OVERALL!B$45</f>
        <v>0.63148148148148142</v>
      </c>
      <c r="AM35" s="288">
        <f>OVERALL!B71</f>
        <v>8.4158307613168733E-3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6"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47" activePane="bottomRight" state="frozen"/>
      <selection activeCell="F48" sqref="F48"/>
      <selection pane="topRight" activeCell="F48" sqref="F48"/>
      <selection pane="bottomLeft" activeCell="F48" sqref="F48"/>
      <selection pane="bottomRight" activeCell="G50" sqref="G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36" t="s">
        <v>184</v>
      </c>
      <c r="E2" s="314" t="s">
        <v>77</v>
      </c>
      <c r="F2" s="299" t="s">
        <v>77</v>
      </c>
      <c r="G2" s="314" t="s">
        <v>77</v>
      </c>
      <c r="H2" s="325" t="s">
        <v>169</v>
      </c>
      <c r="I2" s="338" t="s">
        <v>77</v>
      </c>
    </row>
    <row r="3" spans="1:11" ht="19" x14ac:dyDescent="0.2">
      <c r="A3" s="33" t="str">
        <f>OVERALL!G1</f>
        <v>ING</v>
      </c>
      <c r="B3" s="248">
        <f>OVERALL!G3</f>
        <v>6.3425595238095211E-2</v>
      </c>
      <c r="C3" s="108" t="s">
        <v>73</v>
      </c>
      <c r="D3" s="109">
        <f>IF(D2="-","-",D57)</f>
        <v>0.23448809523809522</v>
      </c>
      <c r="E3" s="109" t="str">
        <f t="shared" ref="E3:I3" si="0">IF(E2="-","-",E57)</f>
        <v>-</v>
      </c>
      <c r="F3" s="109" t="str">
        <f t="shared" si="0"/>
        <v>-</v>
      </c>
      <c r="G3" s="109" t="str">
        <f t="shared" si="0"/>
        <v>-</v>
      </c>
      <c r="H3" s="109">
        <f t="shared" si="0"/>
        <v>0.37189880952380949</v>
      </c>
      <c r="I3" s="109" t="str">
        <f t="shared" si="0"/>
        <v>-</v>
      </c>
    </row>
    <row r="4" spans="1:11" ht="18" customHeight="1" x14ac:dyDescent="0.2">
      <c r="A4" s="17" t="str">
        <f>OVERALL!A4</f>
        <v>QUALITY SCORE</v>
      </c>
      <c r="B4" s="38">
        <f>IF(C2=0, "-", IF(COUNTIF(D39:I39, "n")=C2, "-", IF(COUNT(D4:I4)=0, "-", AVERAGE(D4:I4))))</f>
        <v>0.34791666666666665</v>
      </c>
      <c r="C4" s="58" t="s">
        <v>1</v>
      </c>
      <c r="D4" s="38">
        <f>IF(D48&lt;0%,0%,IF(D$2="-","-",IF(D$39="n", "-", SUM(D$6,D$12,D$17,D$23,D$28,D$34))))</f>
        <v>0.29166666666666663</v>
      </c>
      <c r="E4" s="38" t="str">
        <f t="shared" ref="E4:I4" si="1">IF(E48&lt;0%,0%,IF(E$2="-","-",IF(E$39="n", "-", SUM(E$6,E$12,E$17,E$23,E$28,E$34))))</f>
        <v>-</v>
      </c>
      <c r="F4" s="38" t="str">
        <f t="shared" si="1"/>
        <v>-</v>
      </c>
      <c r="G4" s="38" t="str">
        <f t="shared" si="1"/>
        <v>-</v>
      </c>
      <c r="H4" s="38">
        <f t="shared" si="1"/>
        <v>0.40416666666666667</v>
      </c>
      <c r="I4" s="38" t="str">
        <f t="shared" si="1"/>
        <v>-</v>
      </c>
      <c r="K4" s="12" t="s">
        <v>8</v>
      </c>
    </row>
    <row r="5" spans="1:11" ht="18" customHeight="1" x14ac:dyDescent="0.25">
      <c r="A5" s="57" t="s">
        <v>48</v>
      </c>
      <c r="B5" s="58">
        <f>IF(B6="-","-",AVERAGE(D5:I5))</f>
        <v>0.34791666666666665</v>
      </c>
      <c r="C5" s="58" t="s">
        <v>1</v>
      </c>
      <c r="D5" s="60">
        <f t="shared" ref="D5:I5" si="2">IF(D$2="","",IF(D$39="n", "", SUM(D$6,D$12,D$17,D$23,D$28)))</f>
        <v>0.29166666666666663</v>
      </c>
      <c r="E5" s="60" t="str">
        <f t="shared" si="2"/>
        <v/>
      </c>
      <c r="F5" s="60" t="str">
        <f t="shared" si="2"/>
        <v/>
      </c>
      <c r="G5" s="60" t="str">
        <f t="shared" si="2"/>
        <v/>
      </c>
      <c r="H5" s="60">
        <f t="shared" si="2"/>
        <v>0.40416666666666667</v>
      </c>
      <c r="I5" s="60" t="str">
        <f t="shared" si="2"/>
        <v/>
      </c>
      <c r="K5" s="7" t="s">
        <v>16</v>
      </c>
    </row>
    <row r="6" spans="1:11" ht="18" customHeight="1" x14ac:dyDescent="0.2">
      <c r="A6" s="20" t="str">
        <f>OVERALL!A6</f>
        <v>ENGAGE</v>
      </c>
      <c r="B6" s="21">
        <f>IF(C11=0,"-",AVERAGE(B7:B10))</f>
        <v>0</v>
      </c>
      <c r="C6" s="61" t="s">
        <v>0</v>
      </c>
      <c r="D6" s="29">
        <f>IF(D11=0,"-",(COUNTIF(D7:D10, "y")/D11)*OVERALL!$C$6)</f>
        <v>0</v>
      </c>
      <c r="E6" s="29" t="str">
        <f>IF(E11=0,"-",(COUNTIF(E7:E10, "y")/E11)*OVERALL!$C$6)</f>
        <v>-</v>
      </c>
      <c r="F6" s="29" t="str">
        <f>IF(F11=0,"-",(COUNTIF(F7:F10, "y")/F11)*OVERALL!$C$6)</f>
        <v>-</v>
      </c>
      <c r="G6" s="29" t="str">
        <f>IF(G11=0,"-",(COUNTIF(G7:G10, "y")/G11)*OVERALL!$C$6)</f>
        <v>-</v>
      </c>
      <c r="H6" s="29">
        <f>IF(H11=0,"-",(COUNTIF(H7:H10, "y")/H11)*OVERALL!$C$6)</f>
        <v>0</v>
      </c>
      <c r="I6" s="29" t="str">
        <f>IF(I11=0,"-",(COUNTIF(I7:I10, "y")/I11)*OVERALL!$C$6)</f>
        <v>-</v>
      </c>
    </row>
    <row r="7" spans="1:11" ht="18" customHeight="1" x14ac:dyDescent="0.2">
      <c r="A7" s="34" t="str">
        <f>OVERALL!A7</f>
        <v>WELCOME</v>
      </c>
      <c r="B7" s="3">
        <f>IF(C7=0,"-",COUNTIF(D7:I7,"y")/C7)</f>
        <v>0</v>
      </c>
      <c r="C7" s="27">
        <f>$C$2-COUNTIF(D7:I7, "-")</f>
        <v>2</v>
      </c>
      <c r="D7" s="335" t="s">
        <v>123</v>
      </c>
      <c r="E7" s="315" t="s">
        <v>77</v>
      </c>
      <c r="F7" s="298" t="s">
        <v>77</v>
      </c>
      <c r="G7" s="315" t="s">
        <v>77</v>
      </c>
      <c r="H7" s="324" t="s">
        <v>123</v>
      </c>
      <c r="I7" s="337" t="s">
        <v>77</v>
      </c>
      <c r="K7" s="11" t="s">
        <v>2</v>
      </c>
    </row>
    <row r="8" spans="1:11" ht="18" customHeight="1" x14ac:dyDescent="0.25">
      <c r="A8" s="34" t="str">
        <f>OVERALL!A8</f>
        <v>INTENT</v>
      </c>
      <c r="B8" s="3">
        <f>IF(C8=0,"-",COUNTIF(D8:I8,"y")/C8)</f>
        <v>0</v>
      </c>
      <c r="C8" s="27">
        <f>$C$2-COUNTIF(D8:I8, "-")</f>
        <v>2</v>
      </c>
      <c r="D8" s="335" t="s">
        <v>123</v>
      </c>
      <c r="E8" s="315" t="s">
        <v>77</v>
      </c>
      <c r="F8" s="298" t="s">
        <v>77</v>
      </c>
      <c r="G8" s="315" t="s">
        <v>77</v>
      </c>
      <c r="H8" s="324" t="s">
        <v>123</v>
      </c>
      <c r="I8" s="337" t="s">
        <v>77</v>
      </c>
      <c r="K8" s="7" t="s">
        <v>15</v>
      </c>
    </row>
    <row r="9" spans="1:11" ht="18" customHeight="1" x14ac:dyDescent="0.2">
      <c r="A9" s="34" t="str">
        <f>OVERALL!A9</f>
        <v>NAME</v>
      </c>
      <c r="B9" s="3">
        <f>IF(C9=0,"-",COUNTIF(D9:I9,"y")/C9)</f>
        <v>0</v>
      </c>
      <c r="C9" s="27">
        <f>$C$2-COUNTIF(D9:I9, "-")</f>
        <v>2</v>
      </c>
      <c r="D9" s="335" t="s">
        <v>123</v>
      </c>
      <c r="E9" s="315" t="s">
        <v>77</v>
      </c>
      <c r="F9" s="298" t="s">
        <v>77</v>
      </c>
      <c r="G9" s="315" t="s">
        <v>77</v>
      </c>
      <c r="H9" s="324" t="s">
        <v>123</v>
      </c>
      <c r="I9" s="337" t="s">
        <v>77</v>
      </c>
      <c r="K9" t="s">
        <v>1</v>
      </c>
    </row>
    <row r="10" spans="1:11" ht="18" customHeight="1" x14ac:dyDescent="0.2">
      <c r="A10" s="34" t="str">
        <f>OVERALL!A10</f>
        <v>BRIDGE</v>
      </c>
      <c r="B10" s="3">
        <f>IF(C10=0,"-",COUNTIF(D10:I10,"y")/C10)</f>
        <v>0</v>
      </c>
      <c r="C10" s="27">
        <f>$C$2-COUNTIF(D10:I10, "-")</f>
        <v>2</v>
      </c>
      <c r="D10" s="335" t="s">
        <v>123</v>
      </c>
      <c r="E10" s="315" t="s">
        <v>77</v>
      </c>
      <c r="F10" s="298" t="s">
        <v>77</v>
      </c>
      <c r="G10" s="315" t="s">
        <v>77</v>
      </c>
      <c r="H10" s="324" t="s">
        <v>123</v>
      </c>
      <c r="I10" s="337" t="s">
        <v>77</v>
      </c>
      <c r="K10" s="13" t="s">
        <v>3</v>
      </c>
    </row>
    <row r="11" spans="1:11" ht="18" customHeight="1" x14ac:dyDescent="0.25">
      <c r="A11" s="2"/>
      <c r="C11" s="63">
        <f>AVERAGE(C7:C10)</f>
        <v>2</v>
      </c>
      <c r="D11" s="28">
        <f t="shared" ref="D11:I11" si="3">COUNTA(D7:D10)-COUNTIF(D7:D10, "-")</f>
        <v>4</v>
      </c>
      <c r="E11" s="28">
        <f t="shared" si="3"/>
        <v>0</v>
      </c>
      <c r="F11" s="28">
        <f t="shared" si="3"/>
        <v>0</v>
      </c>
      <c r="G11" s="28">
        <f t="shared" si="3"/>
        <v>0</v>
      </c>
      <c r="H11" s="28">
        <f t="shared" si="3"/>
        <v>4</v>
      </c>
      <c r="I11" s="28">
        <f t="shared" si="3"/>
        <v>0</v>
      </c>
      <c r="K11" s="8" t="s">
        <v>14</v>
      </c>
    </row>
    <row r="12" spans="1:11" ht="18" customHeight="1" x14ac:dyDescent="0.2">
      <c r="A12" s="20" t="str">
        <f>OVERALL!A12</f>
        <v>DISCOVER</v>
      </c>
      <c r="B12" s="21">
        <f>IF(C16=0,"-",AVERAGE(B13:B15))</f>
        <v>0.33333333333333331</v>
      </c>
      <c r="C12" s="1" t="s">
        <v>1</v>
      </c>
      <c r="D12" s="29">
        <f>IF(D16=0,"-",(COUNTIF(D13:D15, "y")/D16)*OVERALL!$C$12)</f>
        <v>6.6666666666666666E-2</v>
      </c>
      <c r="E12" s="29" t="str">
        <f>IF(E16=0,"-",(COUNTIF(E13:E15, "y")/E16)*OVERALL!$C$12)</f>
        <v>-</v>
      </c>
      <c r="F12" s="29" t="str">
        <f>IF(F16=0,"-",(COUNTIF(F13:F15, "y")/F16)*OVERALL!$C$12)</f>
        <v>-</v>
      </c>
      <c r="G12" s="29" t="str">
        <f>IF(G16=0,"-",(COUNTIF(G13:G15, "y")/G16)*OVERALL!$C$12)</f>
        <v>-</v>
      </c>
      <c r="H12" s="29">
        <f>IF(H16=0,"-",(COUNTIF(H13:H15, "y")/H16)*OVERALL!$C$12)</f>
        <v>6.6666666666666666E-2</v>
      </c>
      <c r="I12" s="29" t="str">
        <f>IF(I16=0,"-",(COUNTIF(I13:I15, "y")/I16)*OVERALL!$C$12)</f>
        <v>-</v>
      </c>
      <c r="K12" t="s">
        <v>1</v>
      </c>
    </row>
    <row r="13" spans="1:11" ht="18" customHeight="1" x14ac:dyDescent="0.2">
      <c r="A13" s="34" t="str">
        <f>OVERALL!A13</f>
        <v>CONVERSE</v>
      </c>
      <c r="B13" s="3">
        <f>IF(C13=0,"-",COUNTIF(D13:I13,"y")/C13)</f>
        <v>0</v>
      </c>
      <c r="C13" s="27">
        <f>$C$2-COUNTIF(D13:I13, "-")</f>
        <v>2</v>
      </c>
      <c r="D13" s="335" t="s">
        <v>123</v>
      </c>
      <c r="E13" s="315" t="s">
        <v>77</v>
      </c>
      <c r="F13" s="298" t="s">
        <v>77</v>
      </c>
      <c r="G13" s="315" t="s">
        <v>77</v>
      </c>
      <c r="H13" s="324" t="s">
        <v>123</v>
      </c>
      <c r="I13" s="337" t="s">
        <v>77</v>
      </c>
      <c r="K13" s="14" t="s">
        <v>4</v>
      </c>
    </row>
    <row r="14" spans="1:11" ht="18" customHeight="1" x14ac:dyDescent="0.25">
      <c r="A14" s="34" t="str">
        <f>OVERALL!A14</f>
        <v>LISTEN</v>
      </c>
      <c r="B14" s="3">
        <f>IF(C14=0,"-",COUNTIF(D14:I14,"y")/C14)</f>
        <v>1</v>
      </c>
      <c r="C14" s="27">
        <f>$C$2-COUNTIF(D14:I14, "-")</f>
        <v>2</v>
      </c>
      <c r="D14" s="335" t="s">
        <v>124</v>
      </c>
      <c r="E14" s="315" t="s">
        <v>77</v>
      </c>
      <c r="F14" s="298" t="s">
        <v>77</v>
      </c>
      <c r="G14" s="315" t="s">
        <v>77</v>
      </c>
      <c r="H14" s="324" t="s">
        <v>124</v>
      </c>
      <c r="I14" s="337" t="s">
        <v>77</v>
      </c>
      <c r="K14" s="9" t="s">
        <v>13</v>
      </c>
    </row>
    <row r="15" spans="1:11" ht="18" customHeight="1" x14ac:dyDescent="0.2">
      <c r="A15" s="34" t="str">
        <f>OVERALL!A15</f>
        <v>CONFIRM</v>
      </c>
      <c r="B15" s="3">
        <f>IF(C15=0,"-",COUNTIF(D15:I15,"y")/C15)</f>
        <v>0</v>
      </c>
      <c r="C15" s="27">
        <f>$C$2-COUNTIF(D15:I15, "-")</f>
        <v>2</v>
      </c>
      <c r="D15" s="335" t="s">
        <v>123</v>
      </c>
      <c r="E15" s="315" t="s">
        <v>77</v>
      </c>
      <c r="F15" s="298" t="s">
        <v>77</v>
      </c>
      <c r="G15" s="315" t="s">
        <v>77</v>
      </c>
      <c r="H15" s="324" t="s">
        <v>123</v>
      </c>
      <c r="I15" s="337" t="s">
        <v>77</v>
      </c>
      <c r="J15" t="s">
        <v>1</v>
      </c>
    </row>
    <row r="16" spans="1:11" ht="18" customHeight="1" x14ac:dyDescent="0.2">
      <c r="A16" s="2"/>
      <c r="C16" s="63">
        <f>AVERAGE(C13:C15)</f>
        <v>2</v>
      </c>
      <c r="D16" s="28">
        <f t="shared" ref="D16:I16" si="4">COUNTA(D13:D15)-COUNTIF(D13:D15, "-")</f>
        <v>3</v>
      </c>
      <c r="E16" s="28">
        <f t="shared" si="4"/>
        <v>0</v>
      </c>
      <c r="F16" s="28">
        <f t="shared" si="4"/>
        <v>0</v>
      </c>
      <c r="G16" s="28">
        <f t="shared" si="4"/>
        <v>0</v>
      </c>
      <c r="H16" s="28">
        <f t="shared" si="4"/>
        <v>3</v>
      </c>
      <c r="I16" s="28">
        <f t="shared" si="4"/>
        <v>0</v>
      </c>
      <c r="K16" s="15" t="s">
        <v>7</v>
      </c>
    </row>
    <row r="17" spans="1:14" ht="18" customHeight="1" x14ac:dyDescent="0.25">
      <c r="A17" s="20" t="str">
        <f>OVERALL!A17</f>
        <v>EDUCATE</v>
      </c>
      <c r="B17" s="21">
        <f>IF(C22=0,"-",AVERAGE(B18:B21))</f>
        <v>0.625</v>
      </c>
      <c r="C17" s="1" t="s">
        <v>1</v>
      </c>
      <c r="D17" s="30">
        <f>IF(D22=0,"-",(COUNTIF(D18:D21, "y")/D22)*OVERALL!$C$17)</f>
        <v>0.125</v>
      </c>
      <c r="E17" s="30" t="str">
        <f>IF(E22=0,"-",(COUNTIF(E18:E21, "y")/E22)*OVERALL!$C$17)</f>
        <v>-</v>
      </c>
      <c r="F17" s="30" t="str">
        <f>IF(F22=0,"-",(COUNTIF(F18:F21, "y")/F22)*OVERALL!$C$17)</f>
        <v>-</v>
      </c>
      <c r="G17" s="30" t="str">
        <f>IF(G22=0,"-",(COUNTIF(G18:G21, "y")/G22)*OVERALL!$C$17)</f>
        <v>-</v>
      </c>
      <c r="H17" s="30">
        <f>IF(H22=0,"-",(COUNTIF(H18:H21, "y")/H22)*OVERALL!$C$17)</f>
        <v>0.1875</v>
      </c>
      <c r="I17" s="30" t="str">
        <f>IF(I22=0,"-",(COUNTIF(I18:I21, "y")/I22)*OVERALL!$C$17)</f>
        <v>-</v>
      </c>
      <c r="K17" s="9" t="s">
        <v>6</v>
      </c>
    </row>
    <row r="18" spans="1:14" ht="18" customHeight="1" x14ac:dyDescent="0.2">
      <c r="A18" s="34" t="str">
        <f>OVERALL!A18</f>
        <v>INFORM</v>
      </c>
      <c r="B18" s="3">
        <f>IF(C18=0,"-",COUNTIF(D18:I18,"y")/C18)</f>
        <v>0.5</v>
      </c>
      <c r="C18" s="27">
        <f>$C$2-COUNTIF(D18:I18, "-")</f>
        <v>2</v>
      </c>
      <c r="D18" s="335" t="s">
        <v>123</v>
      </c>
      <c r="E18" s="315" t="s">
        <v>77</v>
      </c>
      <c r="F18" s="298" t="s">
        <v>77</v>
      </c>
      <c r="G18" s="315" t="s">
        <v>77</v>
      </c>
      <c r="H18" s="324" t="s">
        <v>124</v>
      </c>
      <c r="I18" s="337" t="s">
        <v>77</v>
      </c>
    </row>
    <row r="19" spans="1:14" ht="18" customHeight="1" x14ac:dyDescent="0.2">
      <c r="A19" s="34" t="str">
        <f>OVERALL!A19</f>
        <v>CHECK</v>
      </c>
      <c r="B19" s="3">
        <f>IF(C19=0,"-",COUNTIF(D19:I19,"y")/C19)</f>
        <v>0</v>
      </c>
      <c r="C19" s="27">
        <f>$C$2-COUNTIF(D19:I19, "-")</f>
        <v>2</v>
      </c>
      <c r="D19" s="335" t="s">
        <v>123</v>
      </c>
      <c r="E19" s="315" t="s">
        <v>77</v>
      </c>
      <c r="F19" s="298" t="s">
        <v>77</v>
      </c>
      <c r="G19" s="315" t="s">
        <v>77</v>
      </c>
      <c r="H19" s="324" t="s">
        <v>123</v>
      </c>
      <c r="I19" s="337" t="s">
        <v>77</v>
      </c>
    </row>
    <row r="20" spans="1:14" ht="18" customHeight="1" x14ac:dyDescent="0.2">
      <c r="A20" s="34" t="str">
        <f>OVERALL!A20</f>
        <v>SEEK</v>
      </c>
      <c r="B20" s="3">
        <f>IF(C20=0,"-",COUNTIF(D20:I20,"y")/C20)</f>
        <v>1</v>
      </c>
      <c r="C20" s="27">
        <f>$C$2-COUNTIF(D20:I20, "-")</f>
        <v>2</v>
      </c>
      <c r="D20" s="335" t="s">
        <v>124</v>
      </c>
      <c r="E20" s="315" t="s">
        <v>77</v>
      </c>
      <c r="F20" s="298" t="s">
        <v>77</v>
      </c>
      <c r="G20" s="315" t="s">
        <v>77</v>
      </c>
      <c r="H20" s="324" t="s">
        <v>124</v>
      </c>
      <c r="I20" s="337" t="s">
        <v>77</v>
      </c>
      <c r="K20" t="s">
        <v>1</v>
      </c>
    </row>
    <row r="21" spans="1:14" ht="18" customHeight="1" x14ac:dyDescent="0.2">
      <c r="A21" s="34" t="str">
        <f>OVERALL!A21</f>
        <v>CONFIDENCE</v>
      </c>
      <c r="B21" s="3">
        <f>IF(C21=0,"-",COUNTIF(D21:I21,"y")/C21)</f>
        <v>1</v>
      </c>
      <c r="C21" s="27">
        <f>$C$2-COUNTIF(D21:I21, "-")</f>
        <v>2</v>
      </c>
      <c r="D21" s="335" t="s">
        <v>124</v>
      </c>
      <c r="E21" s="315" t="s">
        <v>77</v>
      </c>
      <c r="F21" s="298" t="s">
        <v>77</v>
      </c>
      <c r="G21" s="315" t="s">
        <v>77</v>
      </c>
      <c r="H21" s="324" t="s">
        <v>124</v>
      </c>
      <c r="I21" s="337" t="s">
        <v>77</v>
      </c>
    </row>
    <row r="22" spans="1:14" ht="18" customHeight="1" x14ac:dyDescent="0.2">
      <c r="A22" s="2"/>
      <c r="C22" s="63">
        <f>AVERAGE(C18:C21)</f>
        <v>2</v>
      </c>
      <c r="D22" s="28">
        <f t="shared" ref="D22:I22" si="5">COUNTA(D18:D21)-COUNTIF(D18:D21, "-")</f>
        <v>4</v>
      </c>
      <c r="E22" s="28">
        <f t="shared" si="5"/>
        <v>0</v>
      </c>
      <c r="F22" s="28">
        <f t="shared" si="5"/>
        <v>0</v>
      </c>
      <c r="G22" s="28">
        <f t="shared" si="5"/>
        <v>0</v>
      </c>
      <c r="H22" s="28">
        <f t="shared" si="5"/>
        <v>4</v>
      </c>
      <c r="I22" s="28">
        <f t="shared" si="5"/>
        <v>0</v>
      </c>
    </row>
    <row r="23" spans="1:14" ht="18" customHeight="1" x14ac:dyDescent="0.2">
      <c r="A23" s="20" t="str">
        <f>OVERALL!A23</f>
        <v>CLOSE</v>
      </c>
      <c r="B23" s="21">
        <f>IF(C27=0,"-",AVERAGE(B24:B26))</f>
        <v>0.33333333333333331</v>
      </c>
      <c r="C23" s="1" t="s">
        <v>1</v>
      </c>
      <c r="D23" s="30">
        <f>IF(D27=0,"-",(COUNTIF(D24:D26, "y")/D27)*OVERALL!$C$23)</f>
        <v>4.9999999999999996E-2</v>
      </c>
      <c r="E23" s="30" t="str">
        <f>IF(E27=0,"-",(COUNTIF(E24:E26, "y")/E27)*OVERALL!$C$23)</f>
        <v>-</v>
      </c>
      <c r="F23" s="30" t="str">
        <f>IF(F27=0,"-",(COUNTIF(F24:F26, "y")/F27)*OVERALL!$C$23)</f>
        <v>-</v>
      </c>
      <c r="G23" s="30" t="str">
        <f>IF(G27=0,"-",(COUNTIF(G24:G26, "y")/G27)*OVERALL!$C$23)</f>
        <v>-</v>
      </c>
      <c r="H23" s="30">
        <f>IF(H27=0,"-",(COUNTIF(H24:H26, "y")/H27)*OVERALL!$C$23)</f>
        <v>4.9999999999999996E-2</v>
      </c>
      <c r="I23" s="30" t="str">
        <f>IF(I27=0,"-",(COUNTIF(I24:I26, "y")/I27)*OVERALL!$C$23)</f>
        <v>-</v>
      </c>
    </row>
    <row r="24" spans="1:14" ht="18" customHeight="1" x14ac:dyDescent="0.2">
      <c r="A24" s="34" t="str">
        <f>OVERALL!A24</f>
        <v>QUESTIONS</v>
      </c>
      <c r="B24" s="3">
        <f>IF(C24=0,"-",COUNTIF(D24:I24,"y")/C24)</f>
        <v>0.5</v>
      </c>
      <c r="C24" s="27">
        <f>$C$2-COUNTIF(D24:I24, "-")</f>
        <v>2</v>
      </c>
      <c r="D24" s="335" t="s">
        <v>123</v>
      </c>
      <c r="E24" s="315" t="s">
        <v>77</v>
      </c>
      <c r="F24" s="298" t="s">
        <v>77</v>
      </c>
      <c r="G24" s="315" t="s">
        <v>77</v>
      </c>
      <c r="H24" s="324" t="s">
        <v>124</v>
      </c>
      <c r="I24" s="337" t="s">
        <v>77</v>
      </c>
    </row>
    <row r="25" spans="1:14" ht="18" customHeight="1" x14ac:dyDescent="0.2">
      <c r="A25" s="34" t="str">
        <f>OVERALL!A25</f>
        <v>GRATITUDE</v>
      </c>
      <c r="B25" s="3">
        <f>IF(C25=0,"-",COUNTIF(D25:I25,"y")/C25)</f>
        <v>0</v>
      </c>
      <c r="C25" s="27">
        <f>$C$2-COUNTIF(D25:I25, "-")</f>
        <v>2</v>
      </c>
      <c r="D25" s="335" t="s">
        <v>123</v>
      </c>
      <c r="E25" s="315" t="s">
        <v>77</v>
      </c>
      <c r="F25" s="298" t="s">
        <v>77</v>
      </c>
      <c r="G25" s="315" t="s">
        <v>77</v>
      </c>
      <c r="H25" s="324" t="s">
        <v>123</v>
      </c>
      <c r="I25" s="337" t="s">
        <v>77</v>
      </c>
    </row>
    <row r="26" spans="1:14" ht="18" customHeight="1" x14ac:dyDescent="0.2">
      <c r="A26" s="34" t="str">
        <f>OVERALL!A26</f>
        <v>THANKS</v>
      </c>
      <c r="B26" s="3">
        <f>IF(C26=0,"-",COUNTIF(D26:I26,"y")/C26)</f>
        <v>0.5</v>
      </c>
      <c r="C26" s="27">
        <f>$C$2-COUNTIF(D26:I26, "-")</f>
        <v>2</v>
      </c>
      <c r="D26" s="335" t="s">
        <v>124</v>
      </c>
      <c r="E26" s="315" t="s">
        <v>77</v>
      </c>
      <c r="F26" s="298" t="s">
        <v>77</v>
      </c>
      <c r="G26" s="315" t="s">
        <v>77</v>
      </c>
      <c r="H26" s="324" t="s">
        <v>123</v>
      </c>
      <c r="I26" s="337" t="s">
        <v>77</v>
      </c>
    </row>
    <row r="27" spans="1:14" ht="18" customHeight="1" x14ac:dyDescent="0.2">
      <c r="A27" s="2"/>
      <c r="C27" s="63">
        <f>AVERAGE(C24:C26)</f>
        <v>2</v>
      </c>
      <c r="D27" s="28">
        <f t="shared" ref="D27:I27" si="6">COUNTA(D24:D26)-COUNTIF(D24:D26, "-")</f>
        <v>3</v>
      </c>
      <c r="E27" s="28">
        <f t="shared" si="6"/>
        <v>0</v>
      </c>
      <c r="F27" s="28">
        <f t="shared" si="6"/>
        <v>0</v>
      </c>
      <c r="G27" s="28">
        <f t="shared" si="6"/>
        <v>0</v>
      </c>
      <c r="H27" s="28">
        <f t="shared" si="6"/>
        <v>3</v>
      </c>
      <c r="I27" s="28">
        <f t="shared" si="6"/>
        <v>0</v>
      </c>
    </row>
    <row r="28" spans="1:14" ht="18" customHeight="1" x14ac:dyDescent="0.2">
      <c r="A28" s="20" t="str">
        <f>OVERALL!A28</f>
        <v>IMPACT</v>
      </c>
      <c r="B28" s="21">
        <f>IF(C33=0,"-",AVERAGE(B29:B32))</f>
        <v>0.375</v>
      </c>
      <c r="C28" s="1" t="s">
        <v>1</v>
      </c>
      <c r="D28" s="30">
        <f>IF(D33=0,"-",(COUNTIF(D29:D32, "y")/D33)*OVERALL!$C$28)</f>
        <v>0.05</v>
      </c>
      <c r="E28" s="30" t="str">
        <f>IF(E33=0,"-",(COUNTIF(E29:E32, "y")/E33)*OVERALL!$C$28)</f>
        <v>-</v>
      </c>
      <c r="F28" s="30" t="str">
        <f>IF(F33=0,"-",(COUNTIF(F29:F32, "y")/F33)*OVERALL!$C$28)</f>
        <v>-</v>
      </c>
      <c r="G28" s="30" t="str">
        <f>IF(G33=0,"-",(COUNTIF(G29:G32, "y")/G33)*OVERALL!$C$28)</f>
        <v>-</v>
      </c>
      <c r="H28" s="30">
        <f>IF(H33=0,"-",(COUNTIF(H29:H32, "y")/H33)*OVERALL!$C$28)</f>
        <v>0.1</v>
      </c>
      <c r="I28" s="30" t="str">
        <f>IF(I33=0,"-",(COUNTIF(I29:I32, "y")/I33)*OVERALL!$C$28)</f>
        <v>-</v>
      </c>
    </row>
    <row r="29" spans="1:14" ht="18" customHeight="1" x14ac:dyDescent="0.2">
      <c r="A29" s="34" t="str">
        <f>OVERALL!A29</f>
        <v>VIBRANCY</v>
      </c>
      <c r="B29" s="3">
        <f>IF(C29=0,"-",COUNTIF(D29:I29,"y")/C29)</f>
        <v>1</v>
      </c>
      <c r="C29" s="27">
        <f>$C$2-COUNTIF(D29:I29, "-")</f>
        <v>2</v>
      </c>
      <c r="D29" s="335" t="s">
        <v>124</v>
      </c>
      <c r="E29" s="315" t="s">
        <v>77</v>
      </c>
      <c r="F29" s="298" t="s">
        <v>77</v>
      </c>
      <c r="G29" s="315" t="s">
        <v>77</v>
      </c>
      <c r="H29" s="324" t="s">
        <v>124</v>
      </c>
      <c r="I29" s="337" t="s">
        <v>77</v>
      </c>
    </row>
    <row r="30" spans="1:14" ht="18" customHeight="1" x14ac:dyDescent="0.2">
      <c r="A30" s="34" t="str">
        <f>OVERALL!A30</f>
        <v>EMPATHY</v>
      </c>
      <c r="B30" s="3">
        <f>IF(C30=0,"-",COUNTIF(D30:I30,"y")/C30)</f>
        <v>0</v>
      </c>
      <c r="C30" s="27">
        <f>$C$2-COUNTIF(D30:I30, "-")</f>
        <v>2</v>
      </c>
      <c r="D30" s="335" t="s">
        <v>123</v>
      </c>
      <c r="E30" s="315" t="s">
        <v>77</v>
      </c>
      <c r="F30" s="298" t="s">
        <v>77</v>
      </c>
      <c r="G30" s="315" t="s">
        <v>77</v>
      </c>
      <c r="H30" s="324" t="s">
        <v>123</v>
      </c>
      <c r="I30" s="337" t="s">
        <v>77</v>
      </c>
    </row>
    <row r="31" spans="1:14" ht="18" customHeight="1" x14ac:dyDescent="0.2">
      <c r="A31" s="34" t="str">
        <f>OVERALL!A31</f>
        <v>CONTROL</v>
      </c>
      <c r="B31" s="3">
        <f>IF(C31=0,"-",COUNTIF(D31:I31,"y")/C31)</f>
        <v>0.5</v>
      </c>
      <c r="C31" s="27">
        <f>$C$2-COUNTIF(D31:I31, "-")</f>
        <v>2</v>
      </c>
      <c r="D31" s="335" t="s">
        <v>123</v>
      </c>
      <c r="E31" s="315" t="s">
        <v>77</v>
      </c>
      <c r="F31" s="298" t="s">
        <v>77</v>
      </c>
      <c r="G31" s="315" t="s">
        <v>77</v>
      </c>
      <c r="H31" s="324" t="s">
        <v>124</v>
      </c>
      <c r="I31" s="337" t="s">
        <v>77</v>
      </c>
    </row>
    <row r="32" spans="1:14" ht="18" customHeight="1" x14ac:dyDescent="0.2">
      <c r="A32" s="34" t="str">
        <f>OVERALL!A32</f>
        <v>CLARITY</v>
      </c>
      <c r="B32" s="3">
        <f>IF(C32=0,"-",COUNTIF(D32:I32,"y")/C32)</f>
        <v>0</v>
      </c>
      <c r="C32" s="27">
        <f>$C$2-COUNTIF(D32:I32, "-")</f>
        <v>2</v>
      </c>
      <c r="D32" s="335" t="s">
        <v>123</v>
      </c>
      <c r="E32" s="315" t="s">
        <v>77</v>
      </c>
      <c r="F32" s="298" t="s">
        <v>77</v>
      </c>
      <c r="G32" s="315" t="s">
        <v>77</v>
      </c>
      <c r="H32" s="324" t="s">
        <v>123</v>
      </c>
      <c r="I32" s="337" t="s">
        <v>77</v>
      </c>
      <c r="N32" t="s">
        <v>1</v>
      </c>
    </row>
    <row r="33" spans="1:16" ht="18" customHeight="1" x14ac:dyDescent="0.2">
      <c r="A33" s="5"/>
      <c r="B33" s="6"/>
      <c r="C33" s="63">
        <f>AVERAGE(C29:C32)</f>
        <v>2</v>
      </c>
      <c r="D33" s="28">
        <f t="shared" ref="D33:I33" si="7">COUNTA(D29:D32)-COUNTIF(D29:D32, "-")</f>
        <v>4</v>
      </c>
      <c r="E33" s="28">
        <f t="shared" si="7"/>
        <v>0</v>
      </c>
      <c r="F33" s="28">
        <f t="shared" si="7"/>
        <v>0</v>
      </c>
      <c r="G33" s="28">
        <f t="shared" si="7"/>
        <v>0</v>
      </c>
      <c r="H33" s="28">
        <f t="shared" si="7"/>
        <v>4</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2</v>
      </c>
      <c r="D35" s="335" t="s">
        <v>123</v>
      </c>
      <c r="E35" s="315" t="s">
        <v>77</v>
      </c>
      <c r="F35" s="298" t="s">
        <v>77</v>
      </c>
      <c r="G35" s="315" t="s">
        <v>77</v>
      </c>
      <c r="H35" s="324" t="s">
        <v>123</v>
      </c>
      <c r="I35" s="337" t="s">
        <v>77</v>
      </c>
      <c r="K35" s="48">
        <v>-0.3</v>
      </c>
      <c r="M35" s="48"/>
      <c r="N35" s="48"/>
      <c r="O35" s="48"/>
    </row>
    <row r="36" spans="1:16" ht="18" customHeight="1" x14ac:dyDescent="0.2">
      <c r="A36" s="45" t="str">
        <f>OVERALL!A36</f>
        <v>AUDIO ISSUE (DISTRACTION)</v>
      </c>
      <c r="B36" s="3">
        <f>IF(C36=0,"-",COUNTIF(D36:I36,"y")/C36)</f>
        <v>0</v>
      </c>
      <c r="C36" s="27">
        <f>$C$2-COUNTIF(D36:I36, "-")</f>
        <v>2</v>
      </c>
      <c r="D36" s="335" t="s">
        <v>123</v>
      </c>
      <c r="E36" s="315" t="s">
        <v>77</v>
      </c>
      <c r="F36" s="298" t="s">
        <v>77</v>
      </c>
      <c r="G36" s="315" t="s">
        <v>77</v>
      </c>
      <c r="H36" s="324" t="s">
        <v>123</v>
      </c>
      <c r="I36" s="337" t="s">
        <v>77</v>
      </c>
      <c r="K36" s="48">
        <v>-0.1</v>
      </c>
      <c r="M36" s="48"/>
      <c r="N36" s="48"/>
      <c r="O36" s="48"/>
    </row>
    <row r="37" spans="1:16" ht="18" customHeight="1" x14ac:dyDescent="0.2">
      <c r="A37" s="5"/>
      <c r="B37" s="6"/>
      <c r="C37" s="63">
        <f>C35</f>
        <v>2</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84" t="str">
        <f>OVERALL!A38</f>
        <v>ADDITIONAL INSIGHT</v>
      </c>
      <c r="B38" s="385"/>
      <c r="C38" s="10" t="s">
        <v>1</v>
      </c>
      <c r="D38" s="31"/>
      <c r="E38" s="31"/>
      <c r="F38" s="31"/>
      <c r="G38" s="31"/>
      <c r="H38" s="31"/>
      <c r="I38" s="31"/>
    </row>
    <row r="39" spans="1:16" ht="18" customHeight="1" x14ac:dyDescent="0.2">
      <c r="A39" s="34" t="str">
        <f>OVERALL!A39</f>
        <v>CALL ANSWERED-QUALITY</v>
      </c>
      <c r="B39" s="3">
        <f>IF(C39=0,"-",COUNTIF(D39:I39, "y")/C39)</f>
        <v>0.33333333333333331</v>
      </c>
      <c r="C39" s="27">
        <f t="shared" ref="C39:C45" si="10">$C$2-COUNTIF(D39:I39, "-")</f>
        <v>6</v>
      </c>
      <c r="D39" s="335" t="s">
        <v>124</v>
      </c>
      <c r="E39" s="315" t="s">
        <v>123</v>
      </c>
      <c r="F39" s="298" t="s">
        <v>123</v>
      </c>
      <c r="G39" s="315" t="s">
        <v>123</v>
      </c>
      <c r="H39" s="324" t="s">
        <v>124</v>
      </c>
      <c r="I39" s="337" t="s">
        <v>123</v>
      </c>
    </row>
    <row r="40" spans="1:16" ht="18" customHeight="1" x14ac:dyDescent="0.2">
      <c r="A40" s="34" t="str">
        <f>OVERALL!A40</f>
        <v>TALK TIME</v>
      </c>
      <c r="B40" s="276">
        <f>IF(C40=0,"-",AVERAGE(D40:I40))</f>
        <v>3.6458333333333334E-3</v>
      </c>
      <c r="C40" s="27">
        <f t="shared" si="10"/>
        <v>2</v>
      </c>
      <c r="D40" s="275">
        <v>2.8472222222222223E-3</v>
      </c>
      <c r="E40" s="316" t="s">
        <v>77</v>
      </c>
      <c r="F40" s="275" t="s">
        <v>77</v>
      </c>
      <c r="G40" s="316" t="s">
        <v>77</v>
      </c>
      <c r="H40" s="275">
        <v>4.4444444444444444E-3</v>
      </c>
      <c r="I40" s="340" t="s">
        <v>77</v>
      </c>
      <c r="J40" s="46"/>
      <c r="K40" s="274"/>
      <c r="L40" s="274"/>
      <c r="M40" s="274"/>
      <c r="N40" s="274"/>
      <c r="O40" s="274"/>
      <c r="P40" s="274"/>
    </row>
    <row r="41" spans="1:16" ht="18" customHeight="1" x14ac:dyDescent="0.2">
      <c r="A41" s="34" t="str">
        <f>OVERALL!A41</f>
        <v>ASSESSOR RATING (0-10)</v>
      </c>
      <c r="B41" s="22">
        <f>IF(C41=0,"-",SUM(D41:I41)/C41)</f>
        <v>3.5</v>
      </c>
      <c r="C41" s="27">
        <f t="shared" si="10"/>
        <v>2</v>
      </c>
      <c r="D41" s="266">
        <v>3</v>
      </c>
      <c r="E41" s="317" t="s">
        <v>77</v>
      </c>
      <c r="F41" s="266" t="s">
        <v>77</v>
      </c>
      <c r="G41" s="317" t="s">
        <v>77</v>
      </c>
      <c r="H41" s="266">
        <v>4</v>
      </c>
      <c r="I41" s="341" t="s">
        <v>77</v>
      </c>
    </row>
    <row r="42" spans="1:16" ht="18" customHeight="1" x14ac:dyDescent="0.2">
      <c r="A42" s="34" t="str">
        <f>OVERALL!A42</f>
        <v>EXPLAINED KEY FEATURES</v>
      </c>
      <c r="B42" s="3">
        <f>IF(C42=0,"-",COUNTIF(D42:I42, "y")/C42)</f>
        <v>1</v>
      </c>
      <c r="C42" s="27">
        <f t="shared" si="10"/>
        <v>2</v>
      </c>
      <c r="D42" s="335" t="s">
        <v>124</v>
      </c>
      <c r="E42" s="315" t="s">
        <v>77</v>
      </c>
      <c r="F42" s="298" t="s">
        <v>77</v>
      </c>
      <c r="G42" s="315" t="s">
        <v>77</v>
      </c>
      <c r="H42" s="324" t="s">
        <v>124</v>
      </c>
      <c r="I42" s="337" t="s">
        <v>77</v>
      </c>
      <c r="J42" s="47"/>
      <c r="K42" t="s">
        <v>1</v>
      </c>
    </row>
    <row r="43" spans="1:16" ht="18" customHeight="1" x14ac:dyDescent="0.2">
      <c r="A43" s="34" t="str">
        <f>OVERALL!A43</f>
        <v>REVEALED PRICING</v>
      </c>
      <c r="B43" s="3">
        <f>IF(C43=0,"-",COUNTIF(D43:I43, "y")/C43)</f>
        <v>0.5</v>
      </c>
      <c r="C43" s="27">
        <f t="shared" si="10"/>
        <v>2</v>
      </c>
      <c r="D43" s="335" t="s">
        <v>123</v>
      </c>
      <c r="E43" s="315" t="s">
        <v>77</v>
      </c>
      <c r="F43" s="298" t="s">
        <v>77</v>
      </c>
      <c r="G43" s="315" t="s">
        <v>77</v>
      </c>
      <c r="H43" s="324" t="s">
        <v>124</v>
      </c>
      <c r="I43" s="337" t="s">
        <v>77</v>
      </c>
    </row>
    <row r="44" spans="1:16" ht="18" customHeight="1" x14ac:dyDescent="0.2">
      <c r="A44" s="34" t="str">
        <f>OVERALL!A44</f>
        <v>EXPLAINED ACTIONS &amp; PROCESS</v>
      </c>
      <c r="B44" s="3">
        <f>IF(C44=0,"-",COUNTIF(D44:I44, "y")/C44)</f>
        <v>1</v>
      </c>
      <c r="C44" s="27">
        <f t="shared" si="10"/>
        <v>2</v>
      </c>
      <c r="D44" s="335" t="s">
        <v>124</v>
      </c>
      <c r="E44" s="315" t="s">
        <v>77</v>
      </c>
      <c r="F44" s="298" t="s">
        <v>77</v>
      </c>
      <c r="G44" s="315" t="s">
        <v>77</v>
      </c>
      <c r="H44" s="324" t="s">
        <v>124</v>
      </c>
      <c r="I44" s="337" t="s">
        <v>77</v>
      </c>
    </row>
    <row r="45" spans="1:16" ht="18" customHeight="1" x14ac:dyDescent="0.2">
      <c r="A45" s="34" t="str">
        <f>OVERALL!A45</f>
        <v>WEBSITE EDUCATION</v>
      </c>
      <c r="B45" s="3">
        <f>IF(C45=0,"-",COUNTIF(D45:I45, "y")/C45)</f>
        <v>1</v>
      </c>
      <c r="C45" s="27">
        <f t="shared" si="10"/>
        <v>2</v>
      </c>
      <c r="D45" s="335" t="s">
        <v>124</v>
      </c>
      <c r="E45" s="315" t="s">
        <v>77</v>
      </c>
      <c r="F45" s="298" t="s">
        <v>77</v>
      </c>
      <c r="G45" s="315" t="s">
        <v>77</v>
      </c>
      <c r="H45" s="324" t="s">
        <v>124</v>
      </c>
      <c r="I45" s="337" t="s">
        <v>77</v>
      </c>
    </row>
    <row r="46" spans="1:16" ht="18" customHeight="1" x14ac:dyDescent="0.2">
      <c r="A46" s="18"/>
      <c r="B46" s="3"/>
      <c r="C46" s="27"/>
      <c r="D46" s="268"/>
      <c r="E46" s="268"/>
      <c r="F46" s="268"/>
      <c r="G46" s="268"/>
      <c r="H46" s="268"/>
      <c r="I46" s="268"/>
    </row>
    <row r="47" spans="1:16" ht="150" x14ac:dyDescent="0.2">
      <c r="A47" s="26" t="s">
        <v>1</v>
      </c>
      <c r="B47" s="386" t="s">
        <v>35</v>
      </c>
      <c r="C47" s="387"/>
      <c r="D47" s="24" t="s">
        <v>185</v>
      </c>
      <c r="E47" s="24" t="s">
        <v>125</v>
      </c>
      <c r="F47" s="24" t="s">
        <v>125</v>
      </c>
      <c r="G47" s="24" t="s">
        <v>125</v>
      </c>
      <c r="H47" s="24" t="s">
        <v>170</v>
      </c>
      <c r="I47" s="24" t="s">
        <v>125</v>
      </c>
    </row>
    <row r="48" spans="1:16" ht="18" customHeight="1" x14ac:dyDescent="0.2">
      <c r="A48" s="59" t="s">
        <v>47</v>
      </c>
      <c r="D48" s="50">
        <f t="shared" ref="D48:I48" si="11">IF(D$2="","",IF(D$39="n", "", SUM(D$6,D$12,D$17,D$23,D$28,D$34)))</f>
        <v>0.29166666666666663</v>
      </c>
      <c r="E48" s="50" t="str">
        <f t="shared" si="11"/>
        <v/>
      </c>
      <c r="F48" s="50" t="str">
        <f t="shared" si="11"/>
        <v/>
      </c>
      <c r="G48" s="50" t="str">
        <f t="shared" si="11"/>
        <v/>
      </c>
      <c r="H48" s="50">
        <f t="shared" si="11"/>
        <v>0.40416666666666667</v>
      </c>
      <c r="I48" s="50" t="str">
        <f t="shared" si="11"/>
        <v/>
      </c>
    </row>
    <row r="50" spans="1:9" ht="19" x14ac:dyDescent="0.25">
      <c r="A50" s="110" t="s">
        <v>74</v>
      </c>
      <c r="B50" s="90" t="s">
        <v>75</v>
      </c>
    </row>
    <row r="51" spans="1:9" x14ac:dyDescent="0.2">
      <c r="A51" s="111" t="s">
        <v>63</v>
      </c>
      <c r="B51" s="112">
        <v>0.3</v>
      </c>
      <c r="C51" s="111"/>
      <c r="D51" s="256">
        <f>[1]ING!D$4</f>
        <v>0.10107142857142859</v>
      </c>
      <c r="E51" s="256">
        <f>[1]ING!E$4</f>
        <v>0</v>
      </c>
      <c r="F51" s="256">
        <f>[1]ING!F$4</f>
        <v>0</v>
      </c>
      <c r="G51" s="256">
        <f>[1]ING!G$4</f>
        <v>0</v>
      </c>
      <c r="H51" s="256">
        <f>[1]ING!H$4</f>
        <v>0.29660714285714285</v>
      </c>
      <c r="I51" s="256">
        <f>[1]ING!I$4</f>
        <v>0</v>
      </c>
    </row>
    <row r="52" spans="1:9" x14ac:dyDescent="0.2">
      <c r="A52" s="111" t="s">
        <v>64</v>
      </c>
      <c r="B52" s="112">
        <v>0.7</v>
      </c>
      <c r="C52" s="111"/>
      <c r="D52" s="257">
        <f t="shared" ref="D52:I52" si="12">D4</f>
        <v>0.29166666666666663</v>
      </c>
      <c r="E52" s="257" t="str">
        <f t="shared" si="12"/>
        <v>-</v>
      </c>
      <c r="F52" s="257" t="str">
        <f t="shared" si="12"/>
        <v>-</v>
      </c>
      <c r="G52" s="257" t="str">
        <f t="shared" si="12"/>
        <v>-</v>
      </c>
      <c r="H52" s="257">
        <f t="shared" si="12"/>
        <v>0.40416666666666667</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3.0321428571428576E-2</v>
      </c>
      <c r="E55" s="257">
        <f t="shared" ref="E55:I55" si="13">IF(E51="-","-",E51*$B$51)</f>
        <v>0</v>
      </c>
      <c r="F55" s="257">
        <f t="shared" si="13"/>
        <v>0</v>
      </c>
      <c r="G55" s="257">
        <f t="shared" si="13"/>
        <v>0</v>
      </c>
      <c r="H55" s="257">
        <f t="shared" si="13"/>
        <v>8.8982142857142857E-2</v>
      </c>
      <c r="I55" s="257">
        <f t="shared" si="13"/>
        <v>0</v>
      </c>
    </row>
    <row r="56" spans="1:9" x14ac:dyDescent="0.2">
      <c r="A56" s="111" t="s">
        <v>64</v>
      </c>
      <c r="B56" s="111"/>
      <c r="C56" s="111"/>
      <c r="D56" s="257">
        <f t="shared" ref="D56:I56" si="14">IF(D52="-","-",D52*$B$52)</f>
        <v>0.20416666666666664</v>
      </c>
      <c r="E56" s="257" t="str">
        <f t="shared" si="14"/>
        <v>-</v>
      </c>
      <c r="F56" s="257" t="str">
        <f t="shared" si="14"/>
        <v>-</v>
      </c>
      <c r="G56" s="257" t="str">
        <f t="shared" si="14"/>
        <v>-</v>
      </c>
      <c r="H56" s="257">
        <f t="shared" si="14"/>
        <v>0.28291666666666665</v>
      </c>
      <c r="I56" s="257" t="str">
        <f t="shared" si="14"/>
        <v>-</v>
      </c>
    </row>
    <row r="57" spans="1:9" x14ac:dyDescent="0.2">
      <c r="A57" s="114" t="s">
        <v>59</v>
      </c>
      <c r="B57" s="114"/>
      <c r="C57" s="114"/>
      <c r="D57" s="115">
        <f t="shared" ref="D57:I57" si="15">IF(D51="","",IF(D52="","",SUM(D55:D56)))</f>
        <v>0.23448809523809522</v>
      </c>
      <c r="E57" s="115">
        <f t="shared" si="15"/>
        <v>0</v>
      </c>
      <c r="F57" s="115">
        <f t="shared" si="15"/>
        <v>0</v>
      </c>
      <c r="G57" s="115">
        <f t="shared" si="15"/>
        <v>0</v>
      </c>
      <c r="H57" s="115">
        <f t="shared" si="15"/>
        <v>0.37189880952380949</v>
      </c>
      <c r="I57" s="115">
        <f t="shared" si="15"/>
        <v>0</v>
      </c>
    </row>
  </sheetData>
  <mergeCells count="2">
    <mergeCell ref="A38:B38"/>
    <mergeCell ref="B47:C47"/>
  </mergeCells>
  <conditionalFormatting sqref="B4">
    <cfRule type="containsBlanks" dxfId="50" priority="6">
      <formula>LEN(TRIM(B4))=0</formula>
    </cfRule>
    <cfRule type="cellIs" dxfId="49" priority="7" operator="greaterThanOrEqual">
      <formula>0.905</formula>
    </cfRule>
    <cfRule type="cellIs" dxfId="48" priority="8" operator="between">
      <formula>0.754999</formula>
      <formula>0.905</formula>
    </cfRule>
    <cfRule type="cellIs" dxfId="47" priority="9" operator="between">
      <formula>0.604999</formula>
      <formula>0.754999</formula>
    </cfRule>
    <cfRule type="cellIs" dxfId="46" priority="10" operator="between">
      <formula>0.44999</formula>
      <formula>0.605</formula>
    </cfRule>
    <cfRule type="cellIs" dxfId="45" priority="11" operator="lessThan">
      <formula>0.45</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I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0" zoomScaleNormal="80" workbookViewId="0">
      <pane xSplit="3" ySplit="6" topLeftCell="D47" activePane="bottomRight" state="frozen"/>
      <selection activeCell="F39" sqref="F39:F47"/>
      <selection pane="topRight" activeCell="F39" sqref="F39:F47"/>
      <selection pane="bottomLeft" activeCell="F39" sqref="F39:F47"/>
      <selection pane="bottomRight" activeCell="D51" sqref="D51"/>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36" t="s">
        <v>186</v>
      </c>
      <c r="E2" s="314" t="s">
        <v>153</v>
      </c>
      <c r="F2" s="306" t="s">
        <v>140</v>
      </c>
      <c r="G2" s="314" t="s">
        <v>157</v>
      </c>
      <c r="H2" s="325" t="s">
        <v>77</v>
      </c>
      <c r="I2" s="343" t="s">
        <v>194</v>
      </c>
    </row>
    <row r="3" spans="1:11" ht="19" x14ac:dyDescent="0.2">
      <c r="A3" s="33" t="str">
        <f>OVERALL!H1</f>
        <v>NAB</v>
      </c>
      <c r="B3" s="248">
        <f>OVERALL!H3</f>
        <v>0.55417261904761905</v>
      </c>
      <c r="C3" s="108" t="s">
        <v>73</v>
      </c>
      <c r="D3" s="109">
        <f>IF(D2="-","-",D57)</f>
        <v>0.48205952380952377</v>
      </c>
      <c r="E3" s="109">
        <f t="shared" ref="E3:I3" si="0">IF(E2="-","-",E57)</f>
        <v>0.44804166666666667</v>
      </c>
      <c r="F3" s="109">
        <f t="shared" si="0"/>
        <v>0.72220833333333323</v>
      </c>
      <c r="G3" s="109">
        <f t="shared" si="0"/>
        <v>0.60845833333333332</v>
      </c>
      <c r="H3" s="109" t="str">
        <f t="shared" si="0"/>
        <v>-</v>
      </c>
      <c r="I3" s="109">
        <f t="shared" si="0"/>
        <v>0.63143452380952381</v>
      </c>
    </row>
    <row r="4" spans="1:11" ht="18" customHeight="1" x14ac:dyDescent="0.2">
      <c r="A4" s="17" t="str">
        <f>OVERALL!A4</f>
        <v>QUALITY SCORE</v>
      </c>
      <c r="B4" s="38">
        <f>IF(C2=0, "-", IF(COUNTIF(D39:I39, "n")=C2, "-", IF(COUNT(D4:I4)=0, "-", AVERAGE(D4:I4))))</f>
        <v>0.6183333333333334</v>
      </c>
      <c r="C4" s="58" t="s">
        <v>1</v>
      </c>
      <c r="D4" s="38">
        <f>IF(D48&lt;0%,0%,IF(D$2="-","-",IF(D$39="n", "-", SUM(D$6,D$12,D$17,D$23,D$28,D$34))))</f>
        <v>0.49166666666666664</v>
      </c>
      <c r="E4" s="38">
        <f t="shared" ref="E4:I4" si="1">IF(E48&lt;0%,0%,IF(E$2="-","-",IF(E$39="n", "-", SUM(E$6,E$12,E$17,E$23,E$28,E$34))))</f>
        <v>0.44166666666666671</v>
      </c>
      <c r="F4" s="38">
        <f t="shared" si="1"/>
        <v>0.83333333333333326</v>
      </c>
      <c r="G4" s="38">
        <f t="shared" si="1"/>
        <v>0.67083333333333339</v>
      </c>
      <c r="H4" s="38" t="str">
        <f t="shared" si="1"/>
        <v>-</v>
      </c>
      <c r="I4" s="38">
        <f t="shared" si="1"/>
        <v>0.65416666666666667</v>
      </c>
      <c r="K4" s="12" t="s">
        <v>8</v>
      </c>
    </row>
    <row r="5" spans="1:11" ht="18" customHeight="1" x14ac:dyDescent="0.25">
      <c r="A5" s="57" t="s">
        <v>48</v>
      </c>
      <c r="B5" s="58">
        <f>IF(B6="-","-",AVERAGE(D5:I5))</f>
        <v>0.6183333333333334</v>
      </c>
      <c r="C5" s="58" t="s">
        <v>1</v>
      </c>
      <c r="D5" s="60">
        <f t="shared" ref="D5:I5" si="2">IF(D$2="","",IF(D$39="n", "", SUM(D$6,D$12,D$17,D$23,D$28)))</f>
        <v>0.49166666666666664</v>
      </c>
      <c r="E5" s="60">
        <f t="shared" si="2"/>
        <v>0.44166666666666671</v>
      </c>
      <c r="F5" s="60">
        <f t="shared" si="2"/>
        <v>0.83333333333333326</v>
      </c>
      <c r="G5" s="60">
        <f t="shared" si="2"/>
        <v>0.67083333333333339</v>
      </c>
      <c r="H5" s="60" t="str">
        <f t="shared" si="2"/>
        <v/>
      </c>
      <c r="I5" s="60">
        <f t="shared" si="2"/>
        <v>0.65416666666666667</v>
      </c>
      <c r="K5" s="7" t="s">
        <v>16</v>
      </c>
    </row>
    <row r="6" spans="1:11" ht="18" customHeight="1" x14ac:dyDescent="0.2">
      <c r="A6" s="20" t="str">
        <f>OVERALL!A6</f>
        <v>ENGAGE</v>
      </c>
      <c r="B6" s="21">
        <f>IF(C11=0,"-",AVERAGE(B7:B10))</f>
        <v>0.5</v>
      </c>
      <c r="C6" s="61" t="s">
        <v>0</v>
      </c>
      <c r="D6" s="29">
        <f>IF(D11=0,"-",(COUNTIF(D7:D10, "y")/D11)*OVERALL!$C$6)</f>
        <v>0.1</v>
      </c>
      <c r="E6" s="29">
        <f>IF(E11=0,"-",(COUNTIF(E7:E10, "y")/E11)*OVERALL!$C$6)</f>
        <v>0.05</v>
      </c>
      <c r="F6" s="29">
        <f>IF(F11=0,"-",(COUNTIF(F7:F10, "y")/F11)*OVERALL!$C$6)</f>
        <v>0.15000000000000002</v>
      </c>
      <c r="G6" s="29">
        <f>IF(G11=0,"-",(COUNTIF(G7:G10, "y")/G11)*OVERALL!$C$6)</f>
        <v>0.1</v>
      </c>
      <c r="H6" s="29" t="str">
        <f>IF(H11=0,"-",(COUNTIF(H7:H10, "y")/H11)*OVERALL!$C$6)</f>
        <v>-</v>
      </c>
      <c r="I6" s="29">
        <f>IF(I11=0,"-",(COUNTIF(I7:I10, "y")/I11)*OVERALL!$C$6)</f>
        <v>0.1</v>
      </c>
    </row>
    <row r="7" spans="1:11" ht="18" customHeight="1" x14ac:dyDescent="0.2">
      <c r="A7" s="34" t="str">
        <f>OVERALL!A7</f>
        <v>WELCOME</v>
      </c>
      <c r="B7" s="3">
        <f>IF(C7=0,"-",COUNTIF(D7:I7,"y")/C7)</f>
        <v>1</v>
      </c>
      <c r="C7" s="27">
        <f>$C$2-COUNTIF(D7:I7, "-")</f>
        <v>5</v>
      </c>
      <c r="D7" s="335" t="s">
        <v>124</v>
      </c>
      <c r="E7" s="315" t="s">
        <v>124</v>
      </c>
      <c r="F7" s="305" t="s">
        <v>124</v>
      </c>
      <c r="G7" s="315" t="s">
        <v>124</v>
      </c>
      <c r="H7" s="324" t="s">
        <v>77</v>
      </c>
      <c r="I7" s="342" t="s">
        <v>124</v>
      </c>
      <c r="K7" s="11" t="s">
        <v>2</v>
      </c>
    </row>
    <row r="8" spans="1:11" ht="18" customHeight="1" x14ac:dyDescent="0.25">
      <c r="A8" s="34" t="str">
        <f>OVERALL!A8</f>
        <v>INTENT</v>
      </c>
      <c r="B8" s="3">
        <f>IF(C8=0,"-",COUNTIF(D8:I8,"y")/C8)</f>
        <v>0.2</v>
      </c>
      <c r="C8" s="27">
        <f>$C$2-COUNTIF(D8:I8, "-")</f>
        <v>5</v>
      </c>
      <c r="D8" s="335" t="s">
        <v>123</v>
      </c>
      <c r="E8" s="315" t="s">
        <v>123</v>
      </c>
      <c r="F8" s="305" t="s">
        <v>124</v>
      </c>
      <c r="G8" s="315" t="s">
        <v>123</v>
      </c>
      <c r="H8" s="324" t="s">
        <v>77</v>
      </c>
      <c r="I8" s="342" t="s">
        <v>123</v>
      </c>
      <c r="K8" s="7" t="s">
        <v>15</v>
      </c>
    </row>
    <row r="9" spans="1:11" ht="18" customHeight="1" x14ac:dyDescent="0.2">
      <c r="A9" s="34" t="str">
        <f>OVERALL!A9</f>
        <v>NAME</v>
      </c>
      <c r="B9" s="3">
        <f>IF(C9=0,"-",COUNTIF(D9:I9,"y")/C9)</f>
        <v>0.8</v>
      </c>
      <c r="C9" s="27">
        <f>$C$2-COUNTIF(D9:I9, "-")</f>
        <v>5</v>
      </c>
      <c r="D9" s="335" t="s">
        <v>124</v>
      </c>
      <c r="E9" s="315" t="s">
        <v>123</v>
      </c>
      <c r="F9" s="305" t="s">
        <v>124</v>
      </c>
      <c r="G9" s="315" t="s">
        <v>124</v>
      </c>
      <c r="H9" s="324" t="s">
        <v>77</v>
      </c>
      <c r="I9" s="342" t="s">
        <v>124</v>
      </c>
      <c r="K9" t="s">
        <v>1</v>
      </c>
    </row>
    <row r="10" spans="1:11" ht="18" customHeight="1" x14ac:dyDescent="0.2">
      <c r="A10" s="34" t="str">
        <f>OVERALL!A10</f>
        <v>BRIDGE</v>
      </c>
      <c r="B10" s="3">
        <f>IF(C10=0,"-",COUNTIF(D10:I10,"y")/C10)</f>
        <v>0</v>
      </c>
      <c r="C10" s="27">
        <f>$C$2-COUNTIF(D10:I10, "-")</f>
        <v>5</v>
      </c>
      <c r="D10" s="335" t="s">
        <v>123</v>
      </c>
      <c r="E10" s="315" t="s">
        <v>123</v>
      </c>
      <c r="F10" s="305" t="s">
        <v>123</v>
      </c>
      <c r="G10" s="315" t="s">
        <v>123</v>
      </c>
      <c r="H10" s="324" t="s">
        <v>77</v>
      </c>
      <c r="I10" s="342" t="s">
        <v>123</v>
      </c>
      <c r="K10" s="13" t="s">
        <v>3</v>
      </c>
    </row>
    <row r="11" spans="1:11" ht="18" customHeight="1" x14ac:dyDescent="0.25">
      <c r="A11" s="2"/>
      <c r="C11" s="63">
        <f>AVERAGE(C7:C10)</f>
        <v>5</v>
      </c>
      <c r="D11" s="28">
        <f t="shared" ref="D11:I11" si="3">COUNTA(D7:D10)-COUNTIF(D7:D10, "-")</f>
        <v>4</v>
      </c>
      <c r="E11" s="28">
        <f t="shared" si="3"/>
        <v>4</v>
      </c>
      <c r="F11" s="28">
        <f t="shared" si="3"/>
        <v>4</v>
      </c>
      <c r="G11" s="28">
        <f t="shared" si="3"/>
        <v>4</v>
      </c>
      <c r="H11" s="28">
        <f t="shared" si="3"/>
        <v>0</v>
      </c>
      <c r="I11" s="28">
        <f t="shared" si="3"/>
        <v>4</v>
      </c>
      <c r="K11" s="8" t="s">
        <v>14</v>
      </c>
    </row>
    <row r="12" spans="1:11" ht="18" customHeight="1" x14ac:dyDescent="0.2">
      <c r="A12" s="20" t="str">
        <f>OVERALL!A12</f>
        <v>DISCOVER</v>
      </c>
      <c r="B12" s="21">
        <f>IF(C16=0,"-",AVERAGE(B13:B15))</f>
        <v>0.46666666666666662</v>
      </c>
      <c r="C12" s="1" t="s">
        <v>1</v>
      </c>
      <c r="D12" s="29">
        <f>IF(D16=0,"-",(COUNTIF(D13:D15, "y")/D16)*OVERALL!$C$12)</f>
        <v>6.6666666666666666E-2</v>
      </c>
      <c r="E12" s="29">
        <f>IF(E16=0,"-",(COUNTIF(E13:E15, "y")/E16)*OVERALL!$C$12)</f>
        <v>6.6666666666666666E-2</v>
      </c>
      <c r="F12" s="29">
        <f>IF(F16=0,"-",(COUNTIF(F13:F15, "y")/F16)*OVERALL!$C$12)</f>
        <v>0.13333333333333333</v>
      </c>
      <c r="G12" s="29">
        <f>IF(G16=0,"-",(COUNTIF(G13:G15, "y")/G16)*OVERALL!$C$12)</f>
        <v>0.13333333333333333</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v>
      </c>
      <c r="C13" s="27">
        <f>$C$2-COUNTIF(D13:I13, "-")</f>
        <v>5</v>
      </c>
      <c r="D13" s="335" t="s">
        <v>123</v>
      </c>
      <c r="E13" s="315" t="s">
        <v>123</v>
      </c>
      <c r="F13" s="305" t="s">
        <v>123</v>
      </c>
      <c r="G13" s="315" t="s">
        <v>123</v>
      </c>
      <c r="H13" s="324" t="s">
        <v>77</v>
      </c>
      <c r="I13" s="342" t="s">
        <v>123</v>
      </c>
      <c r="K13" s="14" t="s">
        <v>4</v>
      </c>
    </row>
    <row r="14" spans="1:11" ht="18" customHeight="1" x14ac:dyDescent="0.25">
      <c r="A14" s="34" t="str">
        <f>OVERALL!A14</f>
        <v>LISTEN</v>
      </c>
      <c r="B14" s="3">
        <f>IF(C14=0,"-",COUNTIF(D14:I14,"y")/C14)</f>
        <v>1</v>
      </c>
      <c r="C14" s="27">
        <f>$C$2-COUNTIF(D14:I14, "-")</f>
        <v>5</v>
      </c>
      <c r="D14" s="335" t="s">
        <v>124</v>
      </c>
      <c r="E14" s="315" t="s">
        <v>124</v>
      </c>
      <c r="F14" s="305" t="s">
        <v>124</v>
      </c>
      <c r="G14" s="315" t="s">
        <v>124</v>
      </c>
      <c r="H14" s="324" t="s">
        <v>77</v>
      </c>
      <c r="I14" s="342" t="s">
        <v>124</v>
      </c>
      <c r="K14" s="9" t="s">
        <v>13</v>
      </c>
    </row>
    <row r="15" spans="1:11" ht="18" customHeight="1" x14ac:dyDescent="0.2">
      <c r="A15" s="34" t="str">
        <f>OVERALL!A15</f>
        <v>CONFIRM</v>
      </c>
      <c r="B15" s="3">
        <f>IF(C15=0,"-",COUNTIF(D15:I15,"y")/C15)</f>
        <v>0.4</v>
      </c>
      <c r="C15" s="27">
        <f>$C$2-COUNTIF(D15:I15, "-")</f>
        <v>5</v>
      </c>
      <c r="D15" s="335" t="s">
        <v>123</v>
      </c>
      <c r="E15" s="315" t="s">
        <v>123</v>
      </c>
      <c r="F15" s="305" t="s">
        <v>124</v>
      </c>
      <c r="G15" s="315" t="s">
        <v>124</v>
      </c>
      <c r="H15" s="324" t="s">
        <v>77</v>
      </c>
      <c r="I15" s="342" t="s">
        <v>123</v>
      </c>
      <c r="J15" t="s">
        <v>1</v>
      </c>
    </row>
    <row r="16" spans="1:11" ht="18" customHeight="1" x14ac:dyDescent="0.2">
      <c r="A16" s="2"/>
      <c r="C16" s="63">
        <f>AVERAGE(C13:C15)</f>
        <v>5</v>
      </c>
      <c r="D16" s="28">
        <f t="shared" ref="D16:I16" si="4">COUNTA(D13:D15)-COUNTIF(D13:D15, "-")</f>
        <v>3</v>
      </c>
      <c r="E16" s="28">
        <f t="shared" si="4"/>
        <v>3</v>
      </c>
      <c r="F16" s="28">
        <f t="shared" si="4"/>
        <v>3</v>
      </c>
      <c r="G16" s="28">
        <f t="shared" si="4"/>
        <v>3</v>
      </c>
      <c r="H16" s="28">
        <f t="shared" si="4"/>
        <v>0</v>
      </c>
      <c r="I16" s="28">
        <f t="shared" si="4"/>
        <v>3</v>
      </c>
      <c r="K16" s="15" t="s">
        <v>7</v>
      </c>
    </row>
    <row r="17" spans="1:14" ht="18" customHeight="1" x14ac:dyDescent="0.25">
      <c r="A17" s="20" t="str">
        <f>OVERALL!A17</f>
        <v>EDUCATE</v>
      </c>
      <c r="B17" s="21">
        <f>IF(C22=0,"-",AVERAGE(B18:B21))</f>
        <v>0.7</v>
      </c>
      <c r="C17" s="1" t="s">
        <v>1</v>
      </c>
      <c r="D17" s="30">
        <f>IF(D22=0,"-",(COUNTIF(D18:D21, "y")/D22)*OVERALL!$C$17)</f>
        <v>0.125</v>
      </c>
      <c r="E17" s="30">
        <f>IF(E22=0,"-",(COUNTIF(E18:E21, "y")/E22)*OVERALL!$C$17)</f>
        <v>0.125</v>
      </c>
      <c r="F17" s="30">
        <f>IF(F22=0,"-",(COUNTIF(F18:F21, "y")/F22)*OVERALL!$C$17)</f>
        <v>0.25</v>
      </c>
      <c r="G17" s="30">
        <f>IF(G22=0,"-",(COUNTIF(G18:G21, "y")/G22)*OVERALL!$C$17)</f>
        <v>0.1875</v>
      </c>
      <c r="H17" s="30" t="str">
        <f>IF(H22=0,"-",(COUNTIF(H18:H21, "y")/H22)*OVERALL!$C$17)</f>
        <v>-</v>
      </c>
      <c r="I17" s="30">
        <f>IF(I22=0,"-",(COUNTIF(I18:I21, "y")/I22)*OVERALL!$C$17)</f>
        <v>0.1875</v>
      </c>
      <c r="K17" s="9" t="s">
        <v>6</v>
      </c>
    </row>
    <row r="18" spans="1:14" ht="18" customHeight="1" x14ac:dyDescent="0.2">
      <c r="A18" s="34" t="str">
        <f>OVERALL!A18</f>
        <v>INFORM</v>
      </c>
      <c r="B18" s="3">
        <f>IF(C18=0,"-",COUNTIF(D18:I18,"y")/C18)</f>
        <v>0.6</v>
      </c>
      <c r="C18" s="27">
        <f>$C$2-COUNTIF(D18:I18, "-")</f>
        <v>5</v>
      </c>
      <c r="D18" s="335" t="s">
        <v>123</v>
      </c>
      <c r="E18" s="315" t="s">
        <v>123</v>
      </c>
      <c r="F18" s="305" t="s">
        <v>124</v>
      </c>
      <c r="G18" s="315" t="s">
        <v>124</v>
      </c>
      <c r="H18" s="324" t="s">
        <v>77</v>
      </c>
      <c r="I18" s="342" t="s">
        <v>124</v>
      </c>
    </row>
    <row r="19" spans="1:14" ht="18" customHeight="1" x14ac:dyDescent="0.2">
      <c r="A19" s="34" t="str">
        <f>OVERALL!A19</f>
        <v>CHECK</v>
      </c>
      <c r="B19" s="3">
        <f>IF(C19=0,"-",COUNTIF(D19:I19,"y")/C19)</f>
        <v>0.2</v>
      </c>
      <c r="C19" s="27">
        <f>$C$2-COUNTIF(D19:I19, "-")</f>
        <v>5</v>
      </c>
      <c r="D19" s="335" t="s">
        <v>123</v>
      </c>
      <c r="E19" s="315" t="s">
        <v>123</v>
      </c>
      <c r="F19" s="305" t="s">
        <v>124</v>
      </c>
      <c r="G19" s="315" t="s">
        <v>123</v>
      </c>
      <c r="H19" s="324" t="s">
        <v>77</v>
      </c>
      <c r="I19" s="342" t="s">
        <v>123</v>
      </c>
    </row>
    <row r="20" spans="1:14" ht="18" customHeight="1" x14ac:dyDescent="0.2">
      <c r="A20" s="34" t="str">
        <f>OVERALL!A20</f>
        <v>SEEK</v>
      </c>
      <c r="B20" s="3">
        <f>IF(C20=0,"-",COUNTIF(D20:I20,"y")/C20)</f>
        <v>1</v>
      </c>
      <c r="C20" s="27">
        <f>$C$2-COUNTIF(D20:I20, "-")</f>
        <v>5</v>
      </c>
      <c r="D20" s="335" t="s">
        <v>124</v>
      </c>
      <c r="E20" s="315" t="s">
        <v>124</v>
      </c>
      <c r="F20" s="305" t="s">
        <v>124</v>
      </c>
      <c r="G20" s="315" t="s">
        <v>124</v>
      </c>
      <c r="H20" s="324" t="s">
        <v>77</v>
      </c>
      <c r="I20" s="342" t="s">
        <v>124</v>
      </c>
      <c r="K20" t="s">
        <v>1</v>
      </c>
    </row>
    <row r="21" spans="1:14" ht="18" customHeight="1" x14ac:dyDescent="0.2">
      <c r="A21" s="34" t="str">
        <f>OVERALL!A21</f>
        <v>CONFIDENCE</v>
      </c>
      <c r="B21" s="3">
        <f>IF(C21=0,"-",COUNTIF(D21:I21,"y")/C21)</f>
        <v>1</v>
      </c>
      <c r="C21" s="27">
        <f>$C$2-COUNTIF(D21:I21, "-")</f>
        <v>5</v>
      </c>
      <c r="D21" s="335" t="s">
        <v>124</v>
      </c>
      <c r="E21" s="315" t="s">
        <v>124</v>
      </c>
      <c r="F21" s="305" t="s">
        <v>124</v>
      </c>
      <c r="G21" s="315" t="s">
        <v>124</v>
      </c>
      <c r="H21" s="324" t="s">
        <v>77</v>
      </c>
      <c r="I21" s="342" t="s">
        <v>124</v>
      </c>
    </row>
    <row r="22" spans="1:14" ht="18" customHeight="1" x14ac:dyDescent="0.2">
      <c r="A22" s="2"/>
      <c r="C22" s="63">
        <f>AVERAGE(C18:C21)</f>
        <v>5</v>
      </c>
      <c r="D22" s="28">
        <f t="shared" ref="D22:I22" si="5">COUNTA(D18:D21)-COUNTIF(D18:D21, "-")</f>
        <v>4</v>
      </c>
      <c r="E22" s="28">
        <f t="shared" si="5"/>
        <v>4</v>
      </c>
      <c r="F22" s="28">
        <f t="shared" si="5"/>
        <v>4</v>
      </c>
      <c r="G22" s="28">
        <f t="shared" si="5"/>
        <v>4</v>
      </c>
      <c r="H22" s="28">
        <f t="shared" si="5"/>
        <v>0</v>
      </c>
      <c r="I22" s="28">
        <f t="shared" si="5"/>
        <v>4</v>
      </c>
    </row>
    <row r="23" spans="1:14" ht="18" customHeight="1" x14ac:dyDescent="0.2">
      <c r="A23" s="20" t="str">
        <f>OVERALL!A23</f>
        <v>CLOSE</v>
      </c>
      <c r="B23" s="21">
        <f>IF(C27=0,"-",AVERAGE(B24:B26))</f>
        <v>0.73333333333333339</v>
      </c>
      <c r="C23" s="1" t="s">
        <v>1</v>
      </c>
      <c r="D23" s="30">
        <f>IF(D27=0,"-",(COUNTIF(D24:D26, "y")/D27)*OVERALL!$C$23)</f>
        <v>0.15</v>
      </c>
      <c r="E23" s="30">
        <f>IF(E27=0,"-",(COUNTIF(E24:E26, "y")/E27)*OVERALL!$C$23)</f>
        <v>4.9999999999999996E-2</v>
      </c>
      <c r="F23" s="30">
        <f>IF(F27=0,"-",(COUNTIF(F24:F26, "y")/F27)*OVERALL!$C$23)</f>
        <v>9.9999999999999992E-2</v>
      </c>
      <c r="G23" s="30">
        <f>IF(G27=0,"-",(COUNTIF(G24:G26, "y")/G27)*OVERALL!$C$23)</f>
        <v>9.9999999999999992E-2</v>
      </c>
      <c r="H23" s="30" t="str">
        <f>IF(H27=0,"-",(COUNTIF(H24:H26, "y")/H27)*OVERALL!$C$23)</f>
        <v>-</v>
      </c>
      <c r="I23" s="30">
        <f>IF(I27=0,"-",(COUNTIF(I24:I26, "y")/I27)*OVERALL!$C$23)</f>
        <v>0.15</v>
      </c>
    </row>
    <row r="24" spans="1:14" ht="18" customHeight="1" x14ac:dyDescent="0.2">
      <c r="A24" s="34" t="str">
        <f>OVERALL!A24</f>
        <v>QUESTIONS</v>
      </c>
      <c r="B24" s="3">
        <f>IF(C24=0,"-",COUNTIF(D24:I24,"y")/C24)</f>
        <v>0.6</v>
      </c>
      <c r="C24" s="27">
        <f>$C$2-COUNTIF(D24:I24, "-")</f>
        <v>5</v>
      </c>
      <c r="D24" s="335" t="s">
        <v>124</v>
      </c>
      <c r="E24" s="315" t="s">
        <v>123</v>
      </c>
      <c r="F24" s="305" t="s">
        <v>123</v>
      </c>
      <c r="G24" s="315" t="s">
        <v>124</v>
      </c>
      <c r="H24" s="324" t="s">
        <v>77</v>
      </c>
      <c r="I24" s="342" t="s">
        <v>124</v>
      </c>
    </row>
    <row r="25" spans="1:14" ht="18" customHeight="1" x14ac:dyDescent="0.2">
      <c r="A25" s="34" t="str">
        <f>OVERALL!A25</f>
        <v>GRATITUDE</v>
      </c>
      <c r="B25" s="3">
        <f>IF(C25=0,"-",COUNTIF(D25:I25,"y")/C25)</f>
        <v>0.6</v>
      </c>
      <c r="C25" s="27">
        <f>$C$2-COUNTIF(D25:I25, "-")</f>
        <v>5</v>
      </c>
      <c r="D25" s="335" t="s">
        <v>124</v>
      </c>
      <c r="E25" s="315" t="s">
        <v>123</v>
      </c>
      <c r="F25" s="305" t="s">
        <v>124</v>
      </c>
      <c r="G25" s="315" t="s">
        <v>123</v>
      </c>
      <c r="H25" s="324" t="s">
        <v>77</v>
      </c>
      <c r="I25" s="342" t="s">
        <v>124</v>
      </c>
    </row>
    <row r="26" spans="1:14" ht="18" customHeight="1" x14ac:dyDescent="0.2">
      <c r="A26" s="34" t="str">
        <f>OVERALL!A26</f>
        <v>THANKS</v>
      </c>
      <c r="B26" s="3">
        <f>IF(C26=0,"-",COUNTIF(D26:I26,"y")/C26)</f>
        <v>1</v>
      </c>
      <c r="C26" s="27">
        <f>$C$2-COUNTIF(D26:I26, "-")</f>
        <v>5</v>
      </c>
      <c r="D26" s="335" t="s">
        <v>124</v>
      </c>
      <c r="E26" s="315" t="s">
        <v>124</v>
      </c>
      <c r="F26" s="305" t="s">
        <v>124</v>
      </c>
      <c r="G26" s="315" t="s">
        <v>124</v>
      </c>
      <c r="H26" s="324" t="s">
        <v>77</v>
      </c>
      <c r="I26" s="342" t="s">
        <v>124</v>
      </c>
    </row>
    <row r="27" spans="1:14" ht="18" customHeight="1" x14ac:dyDescent="0.2">
      <c r="A27" s="2"/>
      <c r="C27" s="63">
        <f>AVERAGE(C24:C26)</f>
        <v>5</v>
      </c>
      <c r="D27" s="28">
        <f t="shared" ref="D27:I27" si="6">COUNTA(D24:D26)-COUNTIF(D24:D26, "-")</f>
        <v>3</v>
      </c>
      <c r="E27" s="28">
        <f t="shared" si="6"/>
        <v>3</v>
      </c>
      <c r="F27" s="28">
        <f t="shared" si="6"/>
        <v>3</v>
      </c>
      <c r="G27" s="28">
        <f t="shared" si="6"/>
        <v>3</v>
      </c>
      <c r="H27" s="28">
        <f t="shared" si="6"/>
        <v>0</v>
      </c>
      <c r="I27" s="28">
        <f t="shared" si="6"/>
        <v>3</v>
      </c>
    </row>
    <row r="28" spans="1:14" ht="18" customHeight="1" x14ac:dyDescent="0.2">
      <c r="A28" s="20" t="str">
        <f>OVERALL!A28</f>
        <v>IMPACT</v>
      </c>
      <c r="B28" s="21">
        <f>IF(C33=0,"-",AVERAGE(B29:B32))</f>
        <v>0.70000000000000007</v>
      </c>
      <c r="C28" s="1" t="s">
        <v>1</v>
      </c>
      <c r="D28" s="30">
        <f>IF(D33=0,"-",(COUNTIF(D29:D32, "y")/D33)*OVERALL!$C$28)</f>
        <v>0.05</v>
      </c>
      <c r="E28" s="30">
        <f>IF(E33=0,"-",(COUNTIF(E29:E32, "y")/E33)*OVERALL!$C$28)</f>
        <v>0.15000000000000002</v>
      </c>
      <c r="F28" s="30">
        <f>IF(F33=0,"-",(COUNTIF(F29:F32, "y")/F33)*OVERALL!$C$28)</f>
        <v>0.2</v>
      </c>
      <c r="G28" s="30">
        <f>IF(G33=0,"-",(COUNTIF(G29:G32, "y")/G33)*OVERALL!$C$28)</f>
        <v>0.15000000000000002</v>
      </c>
      <c r="H28" s="30" t="str">
        <f>IF(H33=0,"-",(COUNTIF(H29:H32, "y")/H33)*OVERALL!$C$28)</f>
        <v>-</v>
      </c>
      <c r="I28" s="30">
        <f>IF(I33=0,"-",(COUNTIF(I29:I32, "y")/I33)*OVERALL!$C$28)</f>
        <v>0.15000000000000002</v>
      </c>
    </row>
    <row r="29" spans="1:14" ht="18" customHeight="1" x14ac:dyDescent="0.2">
      <c r="A29" s="34" t="str">
        <f>OVERALL!A29</f>
        <v>VIBRANCY</v>
      </c>
      <c r="B29" s="3">
        <f>IF(C29=0,"-",COUNTIF(D29:I29,"y")/C29)</f>
        <v>1</v>
      </c>
      <c r="C29" s="27">
        <f>$C$2-COUNTIF(D29:I29, "-")</f>
        <v>5</v>
      </c>
      <c r="D29" s="335" t="s">
        <v>124</v>
      </c>
      <c r="E29" s="315" t="s">
        <v>124</v>
      </c>
      <c r="F29" s="305" t="s">
        <v>124</v>
      </c>
      <c r="G29" s="315" t="s">
        <v>124</v>
      </c>
      <c r="H29" s="324" t="s">
        <v>77</v>
      </c>
      <c r="I29" s="342" t="s">
        <v>124</v>
      </c>
    </row>
    <row r="30" spans="1:14" ht="18" customHeight="1" x14ac:dyDescent="0.2">
      <c r="A30" s="34" t="str">
        <f>OVERALL!A30</f>
        <v>EMPATHY</v>
      </c>
      <c r="B30" s="3">
        <f>IF(C30=0,"-",COUNTIF(D30:I30,"y")/C30)</f>
        <v>0.8</v>
      </c>
      <c r="C30" s="27">
        <f>$C$2-COUNTIF(D30:I30, "-")</f>
        <v>5</v>
      </c>
      <c r="D30" s="335" t="s">
        <v>123</v>
      </c>
      <c r="E30" s="315" t="s">
        <v>124</v>
      </c>
      <c r="F30" s="305" t="s">
        <v>124</v>
      </c>
      <c r="G30" s="315" t="s">
        <v>124</v>
      </c>
      <c r="H30" s="324" t="s">
        <v>77</v>
      </c>
      <c r="I30" s="342" t="s">
        <v>124</v>
      </c>
    </row>
    <row r="31" spans="1:14" ht="18" customHeight="1" x14ac:dyDescent="0.2">
      <c r="A31" s="34" t="str">
        <f>OVERALL!A31</f>
        <v>CONTROL</v>
      </c>
      <c r="B31" s="3">
        <f>IF(C31=0,"-",COUNTIF(D31:I31,"y")/C31)</f>
        <v>0.4</v>
      </c>
      <c r="C31" s="27">
        <f>$C$2-COUNTIF(D31:I31, "-")</f>
        <v>5</v>
      </c>
      <c r="D31" s="335" t="s">
        <v>123</v>
      </c>
      <c r="E31" s="315" t="s">
        <v>123</v>
      </c>
      <c r="F31" s="305" t="s">
        <v>124</v>
      </c>
      <c r="G31" s="315" t="s">
        <v>124</v>
      </c>
      <c r="H31" s="324" t="s">
        <v>77</v>
      </c>
      <c r="I31" s="342" t="s">
        <v>123</v>
      </c>
    </row>
    <row r="32" spans="1:14" ht="18" customHeight="1" x14ac:dyDescent="0.2">
      <c r="A32" s="34" t="str">
        <f>OVERALL!A32</f>
        <v>CLARITY</v>
      </c>
      <c r="B32" s="3">
        <f>IF(C32=0,"-",COUNTIF(D32:I32,"y")/C32)</f>
        <v>0.6</v>
      </c>
      <c r="C32" s="27">
        <f>$C$2-COUNTIF(D32:I32, "-")</f>
        <v>5</v>
      </c>
      <c r="D32" s="335" t="s">
        <v>123</v>
      </c>
      <c r="E32" s="315" t="s">
        <v>124</v>
      </c>
      <c r="F32" s="305" t="s">
        <v>124</v>
      </c>
      <c r="G32" s="315" t="s">
        <v>123</v>
      </c>
      <c r="H32" s="324" t="s">
        <v>77</v>
      </c>
      <c r="I32" s="342" t="s">
        <v>124</v>
      </c>
      <c r="N32" t="s">
        <v>1</v>
      </c>
    </row>
    <row r="33" spans="1:16" ht="18" customHeight="1" x14ac:dyDescent="0.2">
      <c r="A33" s="5"/>
      <c r="B33" s="6"/>
      <c r="C33" s="63">
        <f>AVERAGE(C29:C32)</f>
        <v>5</v>
      </c>
      <c r="D33" s="28">
        <f t="shared" ref="D33:I33" si="7">COUNTA(D29:D32)-COUNTIF(D29:D32, "-")</f>
        <v>4</v>
      </c>
      <c r="E33" s="28">
        <f t="shared" si="7"/>
        <v>4</v>
      </c>
      <c r="F33" s="28">
        <f t="shared" si="7"/>
        <v>4</v>
      </c>
      <c r="G33" s="28">
        <f t="shared" si="7"/>
        <v>4</v>
      </c>
      <c r="H33" s="28">
        <f t="shared" si="7"/>
        <v>0</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5</v>
      </c>
      <c r="D35" s="335" t="s">
        <v>123</v>
      </c>
      <c r="E35" s="315" t="s">
        <v>123</v>
      </c>
      <c r="F35" s="305" t="s">
        <v>123</v>
      </c>
      <c r="G35" s="315" t="s">
        <v>123</v>
      </c>
      <c r="H35" s="324" t="s">
        <v>77</v>
      </c>
      <c r="I35" s="342" t="s">
        <v>123</v>
      </c>
      <c r="K35" s="48">
        <v>-0.3</v>
      </c>
      <c r="M35" s="48"/>
      <c r="N35" s="48"/>
      <c r="O35" s="48"/>
    </row>
    <row r="36" spans="1:16" ht="18" customHeight="1" x14ac:dyDescent="0.2">
      <c r="A36" s="45" t="str">
        <f>OVERALL!A36</f>
        <v>AUDIO ISSUE (DISTRACTION)</v>
      </c>
      <c r="B36" s="3">
        <f>IF(C36=0,"-",COUNTIF(D36:I36,"y")/C36)</f>
        <v>0</v>
      </c>
      <c r="C36" s="27">
        <f>$C$2-COUNTIF(D36:I36, "-")</f>
        <v>5</v>
      </c>
      <c r="D36" s="335" t="s">
        <v>123</v>
      </c>
      <c r="E36" s="315" t="s">
        <v>123</v>
      </c>
      <c r="F36" s="305" t="s">
        <v>123</v>
      </c>
      <c r="G36" s="315" t="s">
        <v>123</v>
      </c>
      <c r="H36" s="324" t="s">
        <v>77</v>
      </c>
      <c r="I36" s="342" t="s">
        <v>123</v>
      </c>
      <c r="K36" s="48">
        <v>-0.1</v>
      </c>
      <c r="M36" s="48"/>
      <c r="N36" s="48"/>
      <c r="O36" s="48"/>
    </row>
    <row r="37" spans="1:16" ht="18" customHeight="1" x14ac:dyDescent="0.2">
      <c r="A37" s="5"/>
      <c r="B37" s="6"/>
      <c r="C37" s="63">
        <f>C35</f>
        <v>5</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84" t="str">
        <f>OVERALL!A38</f>
        <v>ADDITIONAL INSIGHT</v>
      </c>
      <c r="B38" s="385"/>
      <c r="C38" s="10" t="s">
        <v>1</v>
      </c>
      <c r="D38" s="31"/>
      <c r="E38" s="31"/>
      <c r="F38" s="31"/>
      <c r="G38" s="31"/>
      <c r="H38" s="31"/>
      <c r="I38" s="31"/>
    </row>
    <row r="39" spans="1:16" ht="18" customHeight="1" x14ac:dyDescent="0.2">
      <c r="A39" s="34" t="str">
        <f>OVERALL!A39</f>
        <v>CALL ANSWERED-QUALITY</v>
      </c>
      <c r="B39" s="3">
        <f>IF(C39=0,"-",COUNTIF(D39:I39, "y")/C39)</f>
        <v>0.83333333333333337</v>
      </c>
      <c r="C39" s="27">
        <f t="shared" ref="C39:C45" si="10">$C$2-COUNTIF(D39:I39, "-")</f>
        <v>6</v>
      </c>
      <c r="D39" s="335" t="s">
        <v>124</v>
      </c>
      <c r="E39" s="315" t="s">
        <v>124</v>
      </c>
      <c r="F39" s="305" t="s">
        <v>124</v>
      </c>
      <c r="G39" s="315" t="s">
        <v>124</v>
      </c>
      <c r="H39" s="324" t="s">
        <v>123</v>
      </c>
      <c r="I39" s="342" t="s">
        <v>124</v>
      </c>
    </row>
    <row r="40" spans="1:16" ht="18" customHeight="1" x14ac:dyDescent="0.2">
      <c r="A40" s="34" t="str">
        <f>OVERALL!A40</f>
        <v>TALK TIME</v>
      </c>
      <c r="B40" s="276">
        <f>IF(C40=0,"-",AVERAGE(D40:I40))</f>
        <v>6.4675925925925925E-3</v>
      </c>
      <c r="C40" s="27">
        <f t="shared" si="10"/>
        <v>5</v>
      </c>
      <c r="D40" s="275">
        <v>5.6597222222222222E-3</v>
      </c>
      <c r="E40" s="275">
        <v>2.0833333333333333E-3</v>
      </c>
      <c r="F40" s="275">
        <v>2.7777777777777779E-3</v>
      </c>
      <c r="G40" s="275">
        <v>3.5416666666666665E-3</v>
      </c>
      <c r="H40" s="327" t="s">
        <v>77</v>
      </c>
      <c r="I40" s="275">
        <v>1.8275462962962962E-2</v>
      </c>
      <c r="J40" s="46"/>
      <c r="K40" s="274"/>
      <c r="L40" s="274"/>
      <c r="M40" s="274"/>
      <c r="N40" s="274"/>
      <c r="O40" s="274"/>
      <c r="P40" s="274"/>
    </row>
    <row r="41" spans="1:16" ht="18" customHeight="1" x14ac:dyDescent="0.2">
      <c r="A41" s="34" t="str">
        <f>OVERALL!A41</f>
        <v>ASSESSOR RATING (0-10)</v>
      </c>
      <c r="B41" s="22">
        <f>IF(C41=0,"-",SUM(D41:I41)/C41)</f>
        <v>5.6</v>
      </c>
      <c r="C41" s="27">
        <f t="shared" si="10"/>
        <v>5</v>
      </c>
      <c r="D41" s="266">
        <v>4</v>
      </c>
      <c r="E41" s="266">
        <v>4</v>
      </c>
      <c r="F41" s="266">
        <v>8</v>
      </c>
      <c r="G41" s="266">
        <v>6</v>
      </c>
      <c r="H41" s="328" t="s">
        <v>77</v>
      </c>
      <c r="I41" s="266">
        <v>6</v>
      </c>
    </row>
    <row r="42" spans="1:16" ht="18" customHeight="1" x14ac:dyDescent="0.2">
      <c r="A42" s="34" t="str">
        <f>OVERALL!A42</f>
        <v>EXPLAINED KEY FEATURES</v>
      </c>
      <c r="B42" s="3">
        <f>IF(C42=0,"-",COUNTIF(D42:I42, "y")/C42)</f>
        <v>0.8</v>
      </c>
      <c r="C42" s="27">
        <f t="shared" si="10"/>
        <v>5</v>
      </c>
      <c r="D42" s="335" t="s">
        <v>124</v>
      </c>
      <c r="E42" s="315" t="s">
        <v>123</v>
      </c>
      <c r="F42" s="305" t="s">
        <v>124</v>
      </c>
      <c r="G42" s="315" t="s">
        <v>124</v>
      </c>
      <c r="H42" s="324" t="s">
        <v>77</v>
      </c>
      <c r="I42" s="342" t="s">
        <v>124</v>
      </c>
      <c r="J42" s="47"/>
      <c r="K42" t="s">
        <v>1</v>
      </c>
    </row>
    <row r="43" spans="1:16" ht="18" customHeight="1" x14ac:dyDescent="0.2">
      <c r="A43" s="34" t="str">
        <f>OVERALL!A43</f>
        <v>REVEALED PRICING</v>
      </c>
      <c r="B43" s="3">
        <f>IF(C43=0,"-",COUNTIF(D43:I43, "y")/C43)</f>
        <v>0.6</v>
      </c>
      <c r="C43" s="27">
        <f t="shared" si="10"/>
        <v>5</v>
      </c>
      <c r="D43" s="335" t="s">
        <v>123</v>
      </c>
      <c r="E43" s="315" t="s">
        <v>123</v>
      </c>
      <c r="F43" s="305" t="s">
        <v>124</v>
      </c>
      <c r="G43" s="315" t="s">
        <v>124</v>
      </c>
      <c r="H43" s="324" t="s">
        <v>77</v>
      </c>
      <c r="I43" s="342" t="s">
        <v>124</v>
      </c>
    </row>
    <row r="44" spans="1:16" ht="18" customHeight="1" x14ac:dyDescent="0.2">
      <c r="A44" s="34" t="str">
        <f>OVERALL!A44</f>
        <v>EXPLAINED ACTIONS &amp; PROCESS</v>
      </c>
      <c r="B44" s="3">
        <f>IF(C44=0,"-",COUNTIF(D44:I44, "y")/C44)</f>
        <v>1</v>
      </c>
      <c r="C44" s="27">
        <f t="shared" si="10"/>
        <v>5</v>
      </c>
      <c r="D44" s="335" t="s">
        <v>124</v>
      </c>
      <c r="E44" s="315" t="s">
        <v>124</v>
      </c>
      <c r="F44" s="305" t="s">
        <v>124</v>
      </c>
      <c r="G44" s="315" t="s">
        <v>124</v>
      </c>
      <c r="H44" s="324" t="s">
        <v>77</v>
      </c>
      <c r="I44" s="342" t="s">
        <v>124</v>
      </c>
    </row>
    <row r="45" spans="1:16" ht="18" customHeight="1" x14ac:dyDescent="0.2">
      <c r="A45" s="34" t="str">
        <f>OVERALL!A45</f>
        <v>WEBSITE EDUCATION</v>
      </c>
      <c r="B45" s="3">
        <f>IF(C45=0,"-",COUNTIF(D45:I45, "y")/C45)</f>
        <v>0.8</v>
      </c>
      <c r="C45" s="27">
        <f t="shared" si="10"/>
        <v>5</v>
      </c>
      <c r="D45" s="335" t="s">
        <v>124</v>
      </c>
      <c r="E45" s="315" t="s">
        <v>124</v>
      </c>
      <c r="F45" s="305" t="s">
        <v>124</v>
      </c>
      <c r="G45" s="315" t="s">
        <v>124</v>
      </c>
      <c r="H45" s="324" t="s">
        <v>77</v>
      </c>
      <c r="I45" s="342" t="s">
        <v>123</v>
      </c>
    </row>
    <row r="46" spans="1:16" ht="18" customHeight="1" x14ac:dyDescent="0.2">
      <c r="A46" s="18"/>
      <c r="B46" s="3"/>
      <c r="C46" s="27"/>
      <c r="D46" s="268"/>
      <c r="E46" s="268"/>
      <c r="F46" s="268"/>
      <c r="G46" s="268"/>
      <c r="H46" s="268"/>
      <c r="I46" s="268"/>
    </row>
    <row r="47" spans="1:16" ht="270" x14ac:dyDescent="0.2">
      <c r="A47" s="26" t="s">
        <v>1</v>
      </c>
      <c r="B47" s="386" t="s">
        <v>35</v>
      </c>
      <c r="C47" s="387"/>
      <c r="D47" s="24" t="s">
        <v>187</v>
      </c>
      <c r="E47" s="24" t="s">
        <v>154</v>
      </c>
      <c r="F47" s="24" t="s">
        <v>141</v>
      </c>
      <c r="G47" s="24" t="s">
        <v>158</v>
      </c>
      <c r="H47" s="24" t="s">
        <v>125</v>
      </c>
      <c r="I47" s="24" t="s">
        <v>195</v>
      </c>
    </row>
    <row r="48" spans="1:16" ht="18" customHeight="1" x14ac:dyDescent="0.2">
      <c r="A48" s="59" t="s">
        <v>47</v>
      </c>
      <c r="D48" s="50">
        <f t="shared" ref="D48:I48" si="11">IF(D$2="","",IF(D$39="n", "", SUM(D$6,D$12,D$17,D$23,D$28,D$34)))</f>
        <v>0.49166666666666664</v>
      </c>
      <c r="E48" s="50">
        <f t="shared" si="11"/>
        <v>0.44166666666666671</v>
      </c>
      <c r="F48" s="50">
        <f t="shared" si="11"/>
        <v>0.83333333333333326</v>
      </c>
      <c r="G48" s="50">
        <f t="shared" si="11"/>
        <v>0.67083333333333339</v>
      </c>
      <c r="H48" s="50" t="str">
        <f t="shared" si="11"/>
        <v/>
      </c>
      <c r="I48" s="50">
        <f t="shared" si="11"/>
        <v>0.65416666666666667</v>
      </c>
    </row>
    <row r="50" spans="1:9" ht="19" x14ac:dyDescent="0.25">
      <c r="A50" s="110" t="s">
        <v>74</v>
      </c>
      <c r="B50" s="90" t="s">
        <v>75</v>
      </c>
    </row>
    <row r="51" spans="1:9" x14ac:dyDescent="0.2">
      <c r="A51" s="111" t="s">
        <v>63</v>
      </c>
      <c r="B51" s="112">
        <v>0.3</v>
      </c>
      <c r="C51" s="111"/>
      <c r="D51" s="256">
        <f>[1]nab!D$4</f>
        <v>0.45964285714285713</v>
      </c>
      <c r="E51" s="256">
        <f>[1]nab!E$4</f>
        <v>0.4629166666666667</v>
      </c>
      <c r="F51" s="256">
        <f>[1]nab!F$4</f>
        <v>0.4629166666666667</v>
      </c>
      <c r="G51" s="256">
        <f>[1]nab!G$4</f>
        <v>0.4629166666666667</v>
      </c>
      <c r="H51" s="256">
        <f>[1]nab!H$4</f>
        <v>0</v>
      </c>
      <c r="I51" s="256">
        <f>[1]nab!I$4</f>
        <v>0.57839285714285715</v>
      </c>
    </row>
    <row r="52" spans="1:9" x14ac:dyDescent="0.2">
      <c r="A52" s="111" t="s">
        <v>64</v>
      </c>
      <c r="B52" s="112">
        <v>0.7</v>
      </c>
      <c r="C52" s="111"/>
      <c r="D52" s="257">
        <f t="shared" ref="D52:I52" si="12">D4</f>
        <v>0.49166666666666664</v>
      </c>
      <c r="E52" s="257">
        <f t="shared" si="12"/>
        <v>0.44166666666666671</v>
      </c>
      <c r="F52" s="257">
        <f t="shared" si="12"/>
        <v>0.83333333333333326</v>
      </c>
      <c r="G52" s="257">
        <f t="shared" si="12"/>
        <v>0.67083333333333339</v>
      </c>
      <c r="H52" s="257" t="str">
        <f t="shared" si="12"/>
        <v>-</v>
      </c>
      <c r="I52" s="257">
        <f t="shared" si="12"/>
        <v>0.65416666666666667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0.13789285714285712</v>
      </c>
      <c r="E55" s="257">
        <f t="shared" ref="E55:I55" si="13">IF(E51="-","-",E51*$B$51)</f>
        <v>0.138875</v>
      </c>
      <c r="F55" s="257">
        <f t="shared" si="13"/>
        <v>0.138875</v>
      </c>
      <c r="G55" s="257">
        <f t="shared" si="13"/>
        <v>0.138875</v>
      </c>
      <c r="H55" s="257">
        <f t="shared" si="13"/>
        <v>0</v>
      </c>
      <c r="I55" s="257">
        <f t="shared" si="13"/>
        <v>0.17351785714285714</v>
      </c>
    </row>
    <row r="56" spans="1:9" x14ac:dyDescent="0.2">
      <c r="A56" s="111" t="s">
        <v>64</v>
      </c>
      <c r="B56" s="111"/>
      <c r="C56" s="111"/>
      <c r="D56" s="257">
        <f t="shared" ref="D56:I56" si="14">IF(D52="-","-",D52*$B$52)</f>
        <v>0.34416666666666662</v>
      </c>
      <c r="E56" s="257">
        <f t="shared" si="14"/>
        <v>0.3091666666666667</v>
      </c>
      <c r="F56" s="257">
        <f t="shared" si="14"/>
        <v>0.58333333333333326</v>
      </c>
      <c r="G56" s="257">
        <f t="shared" si="14"/>
        <v>0.46958333333333335</v>
      </c>
      <c r="H56" s="257" t="str">
        <f t="shared" si="14"/>
        <v>-</v>
      </c>
      <c r="I56" s="257">
        <f t="shared" si="14"/>
        <v>0.45791666666666664</v>
      </c>
    </row>
    <row r="57" spans="1:9" x14ac:dyDescent="0.2">
      <c r="A57" s="114" t="s">
        <v>59</v>
      </c>
      <c r="B57" s="114"/>
      <c r="C57" s="114"/>
      <c r="D57" s="115">
        <f t="shared" ref="D57:I57" si="15">IF(D51="","",IF(D52="","",SUM(D55:D56)))</f>
        <v>0.48205952380952377</v>
      </c>
      <c r="E57" s="115">
        <f t="shared" si="15"/>
        <v>0.44804166666666667</v>
      </c>
      <c r="F57" s="115">
        <f t="shared" si="15"/>
        <v>0.72220833333333323</v>
      </c>
      <c r="G57" s="115">
        <f t="shared" si="15"/>
        <v>0.60845833333333332</v>
      </c>
      <c r="H57" s="115">
        <f t="shared" si="15"/>
        <v>0</v>
      </c>
      <c r="I57" s="115">
        <f t="shared" si="15"/>
        <v>0.63143452380952381</v>
      </c>
    </row>
  </sheetData>
  <mergeCells count="2">
    <mergeCell ref="A38:B38"/>
    <mergeCell ref="B47:C47"/>
  </mergeCells>
  <conditionalFormatting sqref="B4">
    <cfRule type="containsBlanks" dxfId="33" priority="6">
      <formula>LEN(TRIM(B4))=0</formula>
    </cfRule>
    <cfRule type="cellIs" dxfId="32" priority="7" operator="greaterThanOrEqual">
      <formula>0.905</formula>
    </cfRule>
    <cfRule type="cellIs" dxfId="31" priority="8" operator="between">
      <formula>0.754999</formula>
      <formula>0.905</formula>
    </cfRule>
    <cfRule type="cellIs" dxfId="30" priority="9" operator="between">
      <formula>0.604999</formula>
      <formula>0.754999</formula>
    </cfRule>
    <cfRule type="cellIs" dxfId="29" priority="10" operator="between">
      <formula>0.44999</formula>
      <formula>0.605</formula>
    </cfRule>
    <cfRule type="cellIs" dxfId="28" priority="11" operator="lessThan">
      <formula>0.45</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I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zoomScale="80" zoomScaleNormal="80" workbookViewId="0">
      <pane xSplit="3" ySplit="6" topLeftCell="D48" activePane="bottomRight" state="frozen"/>
      <selection activeCell="F48" sqref="F48"/>
      <selection pane="topRight" activeCell="F48" sqref="F48"/>
      <selection pane="bottomLeft" activeCell="F48" sqref="F48"/>
      <selection pane="bottomRight" activeCell="G49" sqref="G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31" t="s">
        <v>77</v>
      </c>
      <c r="E2" s="314" t="s">
        <v>77</v>
      </c>
      <c r="F2" s="306" t="s">
        <v>77</v>
      </c>
      <c r="G2" s="314" t="s">
        <v>159</v>
      </c>
      <c r="H2" s="325" t="s">
        <v>77</v>
      </c>
      <c r="I2" s="338" t="s">
        <v>77</v>
      </c>
    </row>
    <row r="3" spans="1:11" ht="19" x14ac:dyDescent="0.2">
      <c r="A3" s="33" t="str">
        <f>OVERALL!I1</f>
        <v>WESTPAC</v>
      </c>
      <c r="B3" s="248">
        <f>OVERALL!I3</f>
        <v>1.2833333333333308E-2</v>
      </c>
      <c r="C3" s="108" t="s">
        <v>73</v>
      </c>
      <c r="D3" s="109" t="str">
        <f>IF(D2="-","-",D57)</f>
        <v>-</v>
      </c>
      <c r="E3" s="109" t="str">
        <f t="shared" ref="E3:I3" si="0">IF(E2="-","-",E57)</f>
        <v>-</v>
      </c>
      <c r="F3" s="109" t="str">
        <f t="shared" si="0"/>
        <v>-</v>
      </c>
      <c r="G3" s="109">
        <f t="shared" si="0"/>
        <v>0.37491666666666656</v>
      </c>
      <c r="H3" s="109" t="str">
        <f t="shared" si="0"/>
        <v>-</v>
      </c>
      <c r="I3" s="109" t="str">
        <f t="shared" si="0"/>
        <v>-</v>
      </c>
    </row>
    <row r="4" spans="1:11" ht="18" customHeight="1" x14ac:dyDescent="0.2">
      <c r="A4" s="17" t="str">
        <f>OVERALL!A4</f>
        <v>QUALITY SCORE</v>
      </c>
      <c r="B4" s="38">
        <f>IF(C2=0, "-", IF(COUNTIF(D39:I39, "n")=C2, "-", IF(COUNT(D4:I4)=0, "-", AVERAGE(D4:I4))))</f>
        <v>0.42916666666666664</v>
      </c>
      <c r="C4" s="58" t="s">
        <v>1</v>
      </c>
      <c r="D4" s="38" t="str">
        <f>IF(D48&lt;0%,0%,IF(D$2="-","-",IF(D$39="n", "-", SUM(D$6,D$12,D$17,D$23,D$28,D$34))))</f>
        <v>-</v>
      </c>
      <c r="E4" s="38" t="str">
        <f t="shared" ref="E4:I4" si="1">IF(E48&lt;0%,0%,IF(E$2="-","-",IF(E$39="n", "-", SUM(E$6,E$12,E$17,E$23,E$28,E$34))))</f>
        <v>-</v>
      </c>
      <c r="F4" s="38" t="str">
        <f t="shared" si="1"/>
        <v>-</v>
      </c>
      <c r="G4" s="38">
        <f t="shared" si="1"/>
        <v>0.42916666666666664</v>
      </c>
      <c r="H4" s="38" t="str">
        <f t="shared" si="1"/>
        <v>-</v>
      </c>
      <c r="I4" s="38" t="str">
        <f t="shared" si="1"/>
        <v>-</v>
      </c>
      <c r="K4" s="12" t="s">
        <v>8</v>
      </c>
    </row>
    <row r="5" spans="1:11" ht="18" customHeight="1" x14ac:dyDescent="0.25">
      <c r="A5" s="57" t="s">
        <v>48</v>
      </c>
      <c r="B5" s="58">
        <f>IF(B6="-","-",AVERAGE(D5:I5))</f>
        <v>0.42916666666666664</v>
      </c>
      <c r="C5" s="58" t="s">
        <v>1</v>
      </c>
      <c r="D5" s="60" t="str">
        <f t="shared" ref="D5:I5" si="2">IF(D$2="","",IF(D$39="n", "", SUM(D$6,D$12,D$17,D$23,D$28)))</f>
        <v/>
      </c>
      <c r="E5" s="60" t="str">
        <f t="shared" si="2"/>
        <v/>
      </c>
      <c r="F5" s="60" t="str">
        <f t="shared" si="2"/>
        <v/>
      </c>
      <c r="G5" s="60">
        <f t="shared" si="2"/>
        <v>0.42916666666666664</v>
      </c>
      <c r="H5" s="60" t="str">
        <f t="shared" si="2"/>
        <v/>
      </c>
      <c r="I5" s="60" t="str">
        <f t="shared" si="2"/>
        <v/>
      </c>
      <c r="K5" s="7" t="s">
        <v>16</v>
      </c>
    </row>
    <row r="6" spans="1:11" ht="18" customHeight="1" x14ac:dyDescent="0.2">
      <c r="A6" s="20" t="str">
        <f>OVERALL!A6</f>
        <v>ENGAGE</v>
      </c>
      <c r="B6" s="21">
        <f>IF(C11=0,"-",AVERAGE(B7:B10))</f>
        <v>0.5</v>
      </c>
      <c r="C6" s="61" t="s">
        <v>0</v>
      </c>
      <c r="D6" s="29" t="str">
        <f>IF(D11=0,"-",(COUNTIF(D7:D10, "y")/D11)*OVERALL!$C$6)</f>
        <v>-</v>
      </c>
      <c r="E6" s="29" t="str">
        <f>IF(E11=0,"-",(COUNTIF(E7:E10, "y")/E11)*OVERALL!$C$6)</f>
        <v>-</v>
      </c>
      <c r="F6" s="29" t="str">
        <f>IF(F11=0,"-",(COUNTIF(F7:F10, "y")/F11)*OVERALL!$C$6)</f>
        <v>-</v>
      </c>
      <c r="G6" s="29">
        <f>IF(G11=0,"-",(COUNTIF(G7:G10, "y")/G11)*OVERALL!$C$6)</f>
        <v>0.1</v>
      </c>
      <c r="H6" s="29" t="str">
        <f>IF(H11=0,"-",(COUNTIF(H7:H10, "y")/H11)*OVERALL!$C$6)</f>
        <v>-</v>
      </c>
      <c r="I6" s="29" t="str">
        <f>IF(I11=0,"-",(COUNTIF(I7:I10, "y")/I11)*OVERALL!$C$6)</f>
        <v>-</v>
      </c>
    </row>
    <row r="7" spans="1:11" ht="18" customHeight="1" x14ac:dyDescent="0.2">
      <c r="A7" s="34" t="str">
        <f>OVERALL!A7</f>
        <v>WELCOME</v>
      </c>
      <c r="B7" s="3">
        <f>IF(C7=0,"-",COUNTIF(D7:I7,"y")/C7)</f>
        <v>1</v>
      </c>
      <c r="C7" s="27">
        <f>$C$2-COUNTIF(D7:I7, "-")</f>
        <v>1</v>
      </c>
      <c r="D7" s="330" t="s">
        <v>77</v>
      </c>
      <c r="E7" s="315" t="s">
        <v>77</v>
      </c>
      <c r="F7" s="305" t="s">
        <v>77</v>
      </c>
      <c r="G7" s="315" t="s">
        <v>124</v>
      </c>
      <c r="H7" s="324" t="s">
        <v>77</v>
      </c>
      <c r="I7" s="337" t="s">
        <v>77</v>
      </c>
      <c r="K7" s="11" t="s">
        <v>2</v>
      </c>
    </row>
    <row r="8" spans="1:11" ht="18" customHeight="1" x14ac:dyDescent="0.25">
      <c r="A8" s="34" t="str">
        <f>OVERALL!A8</f>
        <v>INTENT</v>
      </c>
      <c r="B8" s="3">
        <f>IF(C8=0,"-",COUNTIF(D8:I8,"y")/C8)</f>
        <v>0</v>
      </c>
      <c r="C8" s="27">
        <f>$C$2-COUNTIF(D8:I8, "-")</f>
        <v>1</v>
      </c>
      <c r="D8" s="330" t="s">
        <v>77</v>
      </c>
      <c r="E8" s="315" t="s">
        <v>77</v>
      </c>
      <c r="F8" s="305" t="s">
        <v>77</v>
      </c>
      <c r="G8" s="315" t="s">
        <v>123</v>
      </c>
      <c r="H8" s="324" t="s">
        <v>77</v>
      </c>
      <c r="I8" s="337" t="s">
        <v>77</v>
      </c>
      <c r="K8" s="7" t="s">
        <v>15</v>
      </c>
    </row>
    <row r="9" spans="1:11" ht="18" customHeight="1" x14ac:dyDescent="0.2">
      <c r="A9" s="34" t="str">
        <f>OVERALL!A9</f>
        <v>NAME</v>
      </c>
      <c r="B9" s="3">
        <f>IF(C9=0,"-",COUNTIF(D9:I9,"y")/C9)</f>
        <v>1</v>
      </c>
      <c r="C9" s="27">
        <f>$C$2-COUNTIF(D9:I9, "-")</f>
        <v>1</v>
      </c>
      <c r="D9" s="330" t="s">
        <v>77</v>
      </c>
      <c r="E9" s="315" t="s">
        <v>77</v>
      </c>
      <c r="F9" s="305" t="s">
        <v>77</v>
      </c>
      <c r="G9" s="315" t="s">
        <v>124</v>
      </c>
      <c r="H9" s="324" t="s">
        <v>77</v>
      </c>
      <c r="I9" s="337" t="s">
        <v>77</v>
      </c>
      <c r="K9" t="s">
        <v>1</v>
      </c>
    </row>
    <row r="10" spans="1:11" ht="18" customHeight="1" x14ac:dyDescent="0.2">
      <c r="A10" s="34" t="str">
        <f>OVERALL!A10</f>
        <v>BRIDGE</v>
      </c>
      <c r="B10" s="3">
        <f>IF(C10=0,"-",COUNTIF(D10:I10,"y")/C10)</f>
        <v>0</v>
      </c>
      <c r="C10" s="27">
        <f>$C$2-COUNTIF(D10:I10, "-")</f>
        <v>1</v>
      </c>
      <c r="D10" s="330" t="s">
        <v>77</v>
      </c>
      <c r="E10" s="315" t="s">
        <v>77</v>
      </c>
      <c r="F10" s="305" t="s">
        <v>77</v>
      </c>
      <c r="G10" s="315" t="s">
        <v>123</v>
      </c>
      <c r="H10" s="324" t="s">
        <v>77</v>
      </c>
      <c r="I10" s="337" t="s">
        <v>77</v>
      </c>
      <c r="K10" s="13" t="s">
        <v>3</v>
      </c>
    </row>
    <row r="11" spans="1:11" ht="18" customHeight="1" x14ac:dyDescent="0.25">
      <c r="A11" s="2"/>
      <c r="C11" s="63">
        <f>AVERAGE(C7:C10)</f>
        <v>1</v>
      </c>
      <c r="D11" s="28">
        <f t="shared" ref="D11:I11" si="3">COUNTA(D7:D10)-COUNTIF(D7:D10, "-")</f>
        <v>0</v>
      </c>
      <c r="E11" s="28">
        <f t="shared" si="3"/>
        <v>0</v>
      </c>
      <c r="F11" s="28">
        <f t="shared" si="3"/>
        <v>0</v>
      </c>
      <c r="G11" s="28">
        <f t="shared" si="3"/>
        <v>4</v>
      </c>
      <c r="H11" s="28">
        <f t="shared" si="3"/>
        <v>0</v>
      </c>
      <c r="I11" s="28">
        <f t="shared" si="3"/>
        <v>0</v>
      </c>
      <c r="K11" s="8" t="s">
        <v>14</v>
      </c>
    </row>
    <row r="12" spans="1:11" ht="18" customHeight="1" x14ac:dyDescent="0.2">
      <c r="A12" s="20" t="str">
        <f>OVERALL!A12</f>
        <v>DISCOVER</v>
      </c>
      <c r="B12" s="21">
        <f>IF(C16=0,"-",AVERAGE(B13:B15))</f>
        <v>0.33333333333333331</v>
      </c>
      <c r="C12" s="1" t="s">
        <v>1</v>
      </c>
      <c r="D12" s="29" t="str">
        <f>IF(D16=0,"-",(COUNTIF(D13:D15, "y")/D16)*OVERALL!$C$12)</f>
        <v>-</v>
      </c>
      <c r="E12" s="29" t="str">
        <f>IF(E16=0,"-",(COUNTIF(E13:E15, "y")/E16)*OVERALL!$C$12)</f>
        <v>-</v>
      </c>
      <c r="F12" s="29" t="str">
        <f>IF(F16=0,"-",(COUNTIF(F13:F15, "y")/F16)*OVERALL!$C$12)</f>
        <v>-</v>
      </c>
      <c r="G12" s="29">
        <f>IF(G16=0,"-",(COUNTIF(G13:G15, "y")/G16)*OVERALL!$C$12)</f>
        <v>6.6666666666666666E-2</v>
      </c>
      <c r="H12" s="29" t="str">
        <f>IF(H16=0,"-",(COUNTIF(H13:H15, "y")/H16)*OVERALL!$C$12)</f>
        <v>-</v>
      </c>
      <c r="I12" s="29" t="str">
        <f>IF(I16=0,"-",(COUNTIF(I13:I15, "y")/I16)*OVERALL!$C$12)</f>
        <v>-</v>
      </c>
      <c r="K12" t="s">
        <v>1</v>
      </c>
    </row>
    <row r="13" spans="1:11" ht="18" customHeight="1" x14ac:dyDescent="0.2">
      <c r="A13" s="34" t="str">
        <f>OVERALL!A13</f>
        <v>CONVERSE</v>
      </c>
      <c r="B13" s="3">
        <f>IF(C13=0,"-",COUNTIF(D13:I13,"y")/C13)</f>
        <v>0</v>
      </c>
      <c r="C13" s="27">
        <f>$C$2-COUNTIF(D13:I13, "-")</f>
        <v>1</v>
      </c>
      <c r="D13" s="330" t="s">
        <v>77</v>
      </c>
      <c r="E13" s="315" t="s">
        <v>77</v>
      </c>
      <c r="F13" s="305" t="s">
        <v>77</v>
      </c>
      <c r="G13" s="315" t="s">
        <v>123</v>
      </c>
      <c r="H13" s="324" t="s">
        <v>77</v>
      </c>
      <c r="I13" s="337" t="s">
        <v>77</v>
      </c>
      <c r="K13" s="14" t="s">
        <v>4</v>
      </c>
    </row>
    <row r="14" spans="1:11" ht="18" customHeight="1" x14ac:dyDescent="0.25">
      <c r="A14" s="34" t="str">
        <f>OVERALL!A14</f>
        <v>LISTEN</v>
      </c>
      <c r="B14" s="3">
        <f>IF(C14=0,"-",COUNTIF(D14:I14,"y")/C14)</f>
        <v>1</v>
      </c>
      <c r="C14" s="27">
        <f>$C$2-COUNTIF(D14:I14, "-")</f>
        <v>1</v>
      </c>
      <c r="D14" s="330" t="s">
        <v>77</v>
      </c>
      <c r="E14" s="315" t="s">
        <v>77</v>
      </c>
      <c r="F14" s="305" t="s">
        <v>77</v>
      </c>
      <c r="G14" s="315" t="s">
        <v>124</v>
      </c>
      <c r="H14" s="324" t="s">
        <v>77</v>
      </c>
      <c r="I14" s="337" t="s">
        <v>77</v>
      </c>
      <c r="K14" s="9" t="s">
        <v>13</v>
      </c>
    </row>
    <row r="15" spans="1:11" ht="18" customHeight="1" x14ac:dyDescent="0.2">
      <c r="A15" s="34" t="str">
        <f>OVERALL!A15</f>
        <v>CONFIRM</v>
      </c>
      <c r="B15" s="3">
        <f>IF(C15=0,"-",COUNTIF(D15:I15,"y")/C15)</f>
        <v>0</v>
      </c>
      <c r="C15" s="27">
        <f>$C$2-COUNTIF(D15:I15, "-")</f>
        <v>1</v>
      </c>
      <c r="D15" s="330" t="s">
        <v>77</v>
      </c>
      <c r="E15" s="315" t="s">
        <v>77</v>
      </c>
      <c r="F15" s="305" t="s">
        <v>77</v>
      </c>
      <c r="G15" s="315" t="s">
        <v>123</v>
      </c>
      <c r="H15" s="324" t="s">
        <v>77</v>
      </c>
      <c r="I15" s="337" t="s">
        <v>77</v>
      </c>
      <c r="J15" t="s">
        <v>1</v>
      </c>
    </row>
    <row r="16" spans="1:11" ht="18" customHeight="1" x14ac:dyDescent="0.2">
      <c r="A16" s="2"/>
      <c r="C16" s="63">
        <f>AVERAGE(C13:C15)</f>
        <v>1</v>
      </c>
      <c r="D16" s="28">
        <f t="shared" ref="D16:I16" si="4">COUNTA(D13:D15)-COUNTIF(D13:D15, "-")</f>
        <v>0</v>
      </c>
      <c r="E16" s="28">
        <f t="shared" si="4"/>
        <v>0</v>
      </c>
      <c r="F16" s="28">
        <f t="shared" si="4"/>
        <v>0</v>
      </c>
      <c r="G16" s="28">
        <f t="shared" si="4"/>
        <v>3</v>
      </c>
      <c r="H16" s="28">
        <f t="shared" si="4"/>
        <v>0</v>
      </c>
      <c r="I16" s="28">
        <f t="shared" si="4"/>
        <v>0</v>
      </c>
      <c r="K16" s="15" t="s">
        <v>7</v>
      </c>
    </row>
    <row r="17" spans="1:14" ht="18" customHeight="1" x14ac:dyDescent="0.25">
      <c r="A17" s="20" t="str">
        <f>OVERALL!A17</f>
        <v>EDUCATE</v>
      </c>
      <c r="B17" s="21">
        <f>IF(C22=0,"-",AVERAGE(B18:B21))</f>
        <v>0.25</v>
      </c>
      <c r="C17" s="1" t="s">
        <v>1</v>
      </c>
      <c r="D17" s="30" t="str">
        <f>IF(D22=0,"-",(COUNTIF(D18:D21, "y")/D22)*OVERALL!$C$17)</f>
        <v>-</v>
      </c>
      <c r="E17" s="30" t="str">
        <f>IF(E22=0,"-",(COUNTIF(E18:E21, "y")/E22)*OVERALL!$C$17)</f>
        <v>-</v>
      </c>
      <c r="F17" s="30" t="str">
        <f>IF(F22=0,"-",(COUNTIF(F18:F21, "y")/F22)*OVERALL!$C$17)</f>
        <v>-</v>
      </c>
      <c r="G17" s="30">
        <f>IF(G22=0,"-",(COUNTIF(G18:G21, "y")/G22)*OVERALL!$C$17)</f>
        <v>6.25E-2</v>
      </c>
      <c r="H17" s="30" t="str">
        <f>IF(H22=0,"-",(COUNTIF(H18:H21, "y")/H22)*OVERALL!$C$17)</f>
        <v>-</v>
      </c>
      <c r="I17" s="30" t="str">
        <f>IF(I22=0,"-",(COUNTIF(I18:I21, "y")/I22)*OVERALL!$C$17)</f>
        <v>-</v>
      </c>
      <c r="K17" s="9" t="s">
        <v>6</v>
      </c>
    </row>
    <row r="18" spans="1:14" ht="18" customHeight="1" x14ac:dyDescent="0.2">
      <c r="A18" s="34" t="str">
        <f>OVERALL!A18</f>
        <v>INFORM</v>
      </c>
      <c r="B18" s="3">
        <f>IF(C18=0,"-",COUNTIF(D18:I18,"y")/C18)</f>
        <v>1</v>
      </c>
      <c r="C18" s="27">
        <f>$C$2-COUNTIF(D18:I18, "-")</f>
        <v>1</v>
      </c>
      <c r="D18" s="330" t="s">
        <v>77</v>
      </c>
      <c r="E18" s="315" t="s">
        <v>77</v>
      </c>
      <c r="F18" s="305" t="s">
        <v>77</v>
      </c>
      <c r="G18" s="315" t="s">
        <v>124</v>
      </c>
      <c r="H18" s="324" t="s">
        <v>77</v>
      </c>
      <c r="I18" s="337" t="s">
        <v>77</v>
      </c>
    </row>
    <row r="19" spans="1:14" ht="18" customHeight="1" x14ac:dyDescent="0.2">
      <c r="A19" s="34" t="str">
        <f>OVERALL!A19</f>
        <v>CHECK</v>
      </c>
      <c r="B19" s="3">
        <f>IF(C19=0,"-",COUNTIF(D19:I19,"y")/C19)</f>
        <v>0</v>
      </c>
      <c r="C19" s="27">
        <f>$C$2-COUNTIF(D19:I19, "-")</f>
        <v>1</v>
      </c>
      <c r="D19" s="330" t="s">
        <v>77</v>
      </c>
      <c r="E19" s="315" t="s">
        <v>77</v>
      </c>
      <c r="F19" s="305" t="s">
        <v>77</v>
      </c>
      <c r="G19" s="315" t="s">
        <v>123</v>
      </c>
      <c r="H19" s="324" t="s">
        <v>77</v>
      </c>
      <c r="I19" s="337" t="s">
        <v>77</v>
      </c>
    </row>
    <row r="20" spans="1:14" ht="18" customHeight="1" x14ac:dyDescent="0.2">
      <c r="A20" s="34" t="str">
        <f>OVERALL!A20</f>
        <v>SEEK</v>
      </c>
      <c r="B20" s="3">
        <f>IF(C20=0,"-",COUNTIF(D20:I20,"y")/C20)</f>
        <v>0</v>
      </c>
      <c r="C20" s="27">
        <f>$C$2-COUNTIF(D20:I20, "-")</f>
        <v>1</v>
      </c>
      <c r="D20" s="330" t="s">
        <v>77</v>
      </c>
      <c r="E20" s="315" t="s">
        <v>77</v>
      </c>
      <c r="F20" s="305" t="s">
        <v>77</v>
      </c>
      <c r="G20" s="315" t="s">
        <v>123</v>
      </c>
      <c r="H20" s="324" t="s">
        <v>77</v>
      </c>
      <c r="I20" s="337" t="s">
        <v>77</v>
      </c>
      <c r="K20" t="s">
        <v>1</v>
      </c>
    </row>
    <row r="21" spans="1:14" ht="18" customHeight="1" x14ac:dyDescent="0.2">
      <c r="A21" s="34" t="str">
        <f>OVERALL!A21</f>
        <v>CONFIDENCE</v>
      </c>
      <c r="B21" s="3">
        <f>IF(C21=0,"-",COUNTIF(D21:I21,"y")/C21)</f>
        <v>0</v>
      </c>
      <c r="C21" s="27">
        <f>$C$2-COUNTIF(D21:I21, "-")</f>
        <v>1</v>
      </c>
      <c r="D21" s="330" t="s">
        <v>77</v>
      </c>
      <c r="E21" s="315" t="s">
        <v>77</v>
      </c>
      <c r="F21" s="305" t="s">
        <v>77</v>
      </c>
      <c r="G21" s="315" t="s">
        <v>123</v>
      </c>
      <c r="H21" s="324" t="s">
        <v>77</v>
      </c>
      <c r="I21" s="337" t="s">
        <v>77</v>
      </c>
    </row>
    <row r="22" spans="1:14" ht="18" customHeight="1" x14ac:dyDescent="0.2">
      <c r="A22" s="2"/>
      <c r="C22" s="63">
        <f>AVERAGE(C18:C21)</f>
        <v>1</v>
      </c>
      <c r="D22" s="28">
        <f t="shared" ref="D22:I22" si="5">COUNTA(D18:D21)-COUNTIF(D18:D21, "-")</f>
        <v>0</v>
      </c>
      <c r="E22" s="28">
        <f t="shared" si="5"/>
        <v>0</v>
      </c>
      <c r="F22" s="28">
        <f t="shared" si="5"/>
        <v>0</v>
      </c>
      <c r="G22" s="28">
        <f t="shared" si="5"/>
        <v>4</v>
      </c>
      <c r="H22" s="28">
        <f t="shared" si="5"/>
        <v>0</v>
      </c>
      <c r="I22" s="28">
        <f t="shared" si="5"/>
        <v>0</v>
      </c>
    </row>
    <row r="23" spans="1:14" ht="18" customHeight="1" x14ac:dyDescent="0.2">
      <c r="A23" s="20" t="str">
        <f>OVERALL!A23</f>
        <v>CLOSE</v>
      </c>
      <c r="B23" s="21">
        <f>IF(C27=0,"-",AVERAGE(B24:B26))</f>
        <v>1</v>
      </c>
      <c r="C23" s="1" t="s">
        <v>1</v>
      </c>
      <c r="D23" s="30" t="str">
        <f>IF(D27=0,"-",(COUNTIF(D24:D26, "y")/D27)*OVERALL!$C$23)</f>
        <v>-</v>
      </c>
      <c r="E23" s="30" t="str">
        <f>IF(E27=0,"-",(COUNTIF(E24:E26, "y")/E27)*OVERALL!$C$23)</f>
        <v>-</v>
      </c>
      <c r="F23" s="30" t="str">
        <f>IF(F27=0,"-",(COUNTIF(F24:F26, "y")/F27)*OVERALL!$C$23)</f>
        <v>-</v>
      </c>
      <c r="G23" s="30">
        <f>IF(G27=0,"-",(COUNTIF(G24:G26, "y")/G27)*OVERALL!$C$23)</f>
        <v>0.15</v>
      </c>
      <c r="H23" s="30" t="str">
        <f>IF(H27=0,"-",(COUNTIF(H24:H26, "y")/H27)*OVERALL!$C$23)</f>
        <v>-</v>
      </c>
      <c r="I23" s="30" t="str">
        <f>IF(I27=0,"-",(COUNTIF(I24:I26, "y")/I27)*OVERALL!$C$23)</f>
        <v>-</v>
      </c>
    </row>
    <row r="24" spans="1:14" ht="18" customHeight="1" x14ac:dyDescent="0.2">
      <c r="A24" s="34" t="str">
        <f>OVERALL!A24</f>
        <v>QUESTIONS</v>
      </c>
      <c r="B24" s="3">
        <f>IF(C24=0,"-",COUNTIF(D24:I24,"y")/C24)</f>
        <v>1</v>
      </c>
      <c r="C24" s="27">
        <f>$C$2-COUNTIF(D24:I24, "-")</f>
        <v>1</v>
      </c>
      <c r="D24" s="330" t="s">
        <v>77</v>
      </c>
      <c r="E24" s="315" t="s">
        <v>77</v>
      </c>
      <c r="F24" s="262" t="s">
        <v>77</v>
      </c>
      <c r="G24" s="262" t="s">
        <v>124</v>
      </c>
      <c r="H24" s="262" t="s">
        <v>77</v>
      </c>
      <c r="I24" s="262" t="s">
        <v>77</v>
      </c>
    </row>
    <row r="25" spans="1:14" ht="18" customHeight="1" x14ac:dyDescent="0.2">
      <c r="A25" s="34" t="str">
        <f>OVERALL!A25</f>
        <v>GRATITUDE</v>
      </c>
      <c r="B25" s="3">
        <f>IF(C25=0,"-",COUNTIF(D25:I25,"y")/C25)</f>
        <v>1</v>
      </c>
      <c r="C25" s="27">
        <f>$C$2-COUNTIF(D25:I25, "-")</f>
        <v>1</v>
      </c>
      <c r="D25" s="330" t="s">
        <v>77</v>
      </c>
      <c r="E25" s="315" t="s">
        <v>77</v>
      </c>
      <c r="F25" s="263" t="s">
        <v>77</v>
      </c>
      <c r="G25" s="263" t="s">
        <v>124</v>
      </c>
      <c r="H25" s="263" t="s">
        <v>77</v>
      </c>
      <c r="I25" s="263" t="s">
        <v>77</v>
      </c>
    </row>
    <row r="26" spans="1:14" ht="18" customHeight="1" x14ac:dyDescent="0.2">
      <c r="A26" s="34" t="str">
        <f>OVERALL!A26</f>
        <v>THANKS</v>
      </c>
      <c r="B26" s="3">
        <f>IF(C26=0,"-",COUNTIF(D26:I26,"y")/C26)</f>
        <v>1</v>
      </c>
      <c r="C26" s="27">
        <f>$C$2-COUNTIF(D26:I26, "-")</f>
        <v>1</v>
      </c>
      <c r="D26" s="330" t="s">
        <v>77</v>
      </c>
      <c r="E26" s="315" t="s">
        <v>77</v>
      </c>
      <c r="F26" s="263" t="s">
        <v>77</v>
      </c>
      <c r="G26" s="263" t="s">
        <v>124</v>
      </c>
      <c r="H26" s="263" t="s">
        <v>77</v>
      </c>
      <c r="I26" s="263" t="s">
        <v>77</v>
      </c>
    </row>
    <row r="27" spans="1:14" ht="18" customHeight="1" x14ac:dyDescent="0.2">
      <c r="A27" s="2"/>
      <c r="C27" s="63">
        <f>AVERAGE(C24:C26)</f>
        <v>1</v>
      </c>
      <c r="D27" s="28">
        <f t="shared" ref="D27:I27" si="6">COUNTA(D24:D26)-COUNTIF(D24:D26, "-")</f>
        <v>0</v>
      </c>
      <c r="E27" s="28">
        <f t="shared" si="6"/>
        <v>0</v>
      </c>
      <c r="F27" s="28">
        <f t="shared" si="6"/>
        <v>0</v>
      </c>
      <c r="G27" s="28">
        <f t="shared" si="6"/>
        <v>3</v>
      </c>
      <c r="H27" s="28">
        <f t="shared" si="6"/>
        <v>0</v>
      </c>
      <c r="I27" s="28">
        <f t="shared" si="6"/>
        <v>0</v>
      </c>
    </row>
    <row r="28" spans="1:14" ht="18" customHeight="1" x14ac:dyDescent="0.2">
      <c r="A28" s="20" t="str">
        <f>OVERALL!A28</f>
        <v>IMPACT</v>
      </c>
      <c r="B28" s="21">
        <f>IF(C33=0,"-",AVERAGE(B29:B32))</f>
        <v>0.25</v>
      </c>
      <c r="C28" s="1" t="s">
        <v>1</v>
      </c>
      <c r="D28" s="30" t="str">
        <f>IF(D33=0,"-",(COUNTIF(D29:D32, "y")/D33)*OVERALL!$C$28)</f>
        <v>-</v>
      </c>
      <c r="E28" s="30" t="str">
        <f>IF(E33=0,"-",(COUNTIF(E29:E32, "y")/E33)*OVERALL!$C$28)</f>
        <v>-</v>
      </c>
      <c r="F28" s="30" t="str">
        <f>IF(F33=0,"-",(COUNTIF(F29:F32, "y")/F33)*OVERALL!$C$28)</f>
        <v>-</v>
      </c>
      <c r="G28" s="30">
        <f>IF(G33=0,"-",(COUNTIF(G29:G32, "y")/G33)*OVERALL!$C$28)</f>
        <v>0.05</v>
      </c>
      <c r="H28" s="30" t="str">
        <f>IF(H33=0,"-",(COUNTIF(H29:H32, "y")/H33)*OVERALL!$C$28)</f>
        <v>-</v>
      </c>
      <c r="I28" s="30" t="str">
        <f>IF(I33=0,"-",(COUNTIF(I29:I32, "y")/I33)*OVERALL!$C$28)</f>
        <v>-</v>
      </c>
    </row>
    <row r="29" spans="1:14" ht="18" customHeight="1" x14ac:dyDescent="0.2">
      <c r="A29" s="34" t="str">
        <f>OVERALL!A29</f>
        <v>VIBRANCY</v>
      </c>
      <c r="B29" s="3">
        <f>IF(C29=0,"-",COUNTIF(D29:I29,"y")/C29)</f>
        <v>1</v>
      </c>
      <c r="C29" s="27">
        <f>$C$2-COUNTIF(D29:I29, "-")</f>
        <v>1</v>
      </c>
      <c r="D29" s="330" t="s">
        <v>77</v>
      </c>
      <c r="E29" s="315" t="s">
        <v>77</v>
      </c>
      <c r="F29" s="262" t="s">
        <v>77</v>
      </c>
      <c r="G29" s="262" t="s">
        <v>124</v>
      </c>
      <c r="H29" s="262" t="s">
        <v>77</v>
      </c>
      <c r="I29" s="262" t="s">
        <v>77</v>
      </c>
    </row>
    <row r="30" spans="1:14" ht="18" customHeight="1" x14ac:dyDescent="0.2">
      <c r="A30" s="34" t="str">
        <f>OVERALL!A30</f>
        <v>EMPATHY</v>
      </c>
      <c r="B30" s="3">
        <f>IF(C30=0,"-",COUNTIF(D30:I30,"y")/C30)</f>
        <v>0</v>
      </c>
      <c r="C30" s="27">
        <f>$C$2-COUNTIF(D30:I30, "-")</f>
        <v>1</v>
      </c>
      <c r="D30" s="330" t="s">
        <v>77</v>
      </c>
      <c r="E30" s="315" t="s">
        <v>77</v>
      </c>
      <c r="F30" s="263" t="s">
        <v>77</v>
      </c>
      <c r="G30" s="263" t="s">
        <v>123</v>
      </c>
      <c r="H30" s="263" t="s">
        <v>77</v>
      </c>
      <c r="I30" s="263" t="s">
        <v>77</v>
      </c>
    </row>
    <row r="31" spans="1:14" ht="18" customHeight="1" x14ac:dyDescent="0.2">
      <c r="A31" s="34" t="str">
        <f>OVERALL!A31</f>
        <v>CONTROL</v>
      </c>
      <c r="B31" s="3">
        <f>IF(C31=0,"-",COUNTIF(D31:I31,"y")/C31)</f>
        <v>0</v>
      </c>
      <c r="C31" s="27">
        <f>$C$2-COUNTIF(D31:I31, "-")</f>
        <v>1</v>
      </c>
      <c r="D31" s="330" t="s">
        <v>77</v>
      </c>
      <c r="E31" s="315" t="s">
        <v>77</v>
      </c>
      <c r="F31" s="263" t="s">
        <v>77</v>
      </c>
      <c r="G31" s="263" t="s">
        <v>123</v>
      </c>
      <c r="H31" s="263" t="s">
        <v>77</v>
      </c>
      <c r="I31" s="263" t="s">
        <v>77</v>
      </c>
    </row>
    <row r="32" spans="1:14" ht="18" customHeight="1" x14ac:dyDescent="0.2">
      <c r="A32" s="34" t="str">
        <f>OVERALL!A32</f>
        <v>CLARITY</v>
      </c>
      <c r="B32" s="3">
        <f>IF(C32=0,"-",COUNTIF(D32:I32,"y")/C32)</f>
        <v>0</v>
      </c>
      <c r="C32" s="27">
        <f>$C$2-COUNTIF(D32:I32, "-")</f>
        <v>1</v>
      </c>
      <c r="D32" s="330" t="s">
        <v>77</v>
      </c>
      <c r="E32" s="315" t="s">
        <v>77</v>
      </c>
      <c r="F32" s="305" t="s">
        <v>77</v>
      </c>
      <c r="G32" s="315" t="s">
        <v>123</v>
      </c>
      <c r="H32" s="324" t="s">
        <v>77</v>
      </c>
      <c r="I32" s="337" t="s">
        <v>77</v>
      </c>
      <c r="N32" t="s">
        <v>1</v>
      </c>
    </row>
    <row r="33" spans="1:16" ht="18" customHeight="1" x14ac:dyDescent="0.2">
      <c r="A33" s="5"/>
      <c r="B33" s="6"/>
      <c r="C33" s="63">
        <f>AVERAGE(C29:C32)</f>
        <v>1</v>
      </c>
      <c r="D33" s="28">
        <f t="shared" ref="D33:I33" si="7">COUNTA(D29:D32)-COUNTIF(D29:D32, "-")</f>
        <v>0</v>
      </c>
      <c r="E33" s="28">
        <f t="shared" si="7"/>
        <v>0</v>
      </c>
      <c r="F33" s="28">
        <f t="shared" si="7"/>
        <v>0</v>
      </c>
      <c r="G33" s="28">
        <f t="shared" si="7"/>
        <v>4</v>
      </c>
      <c r="H33" s="28">
        <f t="shared" si="7"/>
        <v>0</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1</v>
      </c>
      <c r="D35" s="262" t="s">
        <v>77</v>
      </c>
      <c r="E35" s="264" t="s">
        <v>77</v>
      </c>
      <c r="F35" s="264" t="s">
        <v>77</v>
      </c>
      <c r="G35" s="264" t="s">
        <v>123</v>
      </c>
      <c r="H35" s="264" t="s">
        <v>77</v>
      </c>
      <c r="I35" s="264" t="s">
        <v>77</v>
      </c>
      <c r="K35" s="48">
        <v>-0.3</v>
      </c>
      <c r="M35" s="48"/>
      <c r="N35" s="48"/>
      <c r="O35" s="48"/>
    </row>
    <row r="36" spans="1:16" ht="18" customHeight="1" x14ac:dyDescent="0.2">
      <c r="A36" s="45" t="str">
        <f>OVERALL!A36</f>
        <v>AUDIO ISSUE (DISTRACTION)</v>
      </c>
      <c r="B36" s="3">
        <f>IF(C36=0,"-",COUNTIF(D36:I36,"y")/C36)</f>
        <v>0</v>
      </c>
      <c r="C36" s="27">
        <f>$C$2-COUNTIF(D36:I36, "-")</f>
        <v>1</v>
      </c>
      <c r="D36" s="263" t="s">
        <v>77</v>
      </c>
      <c r="E36" s="265" t="s">
        <v>77</v>
      </c>
      <c r="F36" s="265" t="s">
        <v>77</v>
      </c>
      <c r="G36" s="265" t="s">
        <v>123</v>
      </c>
      <c r="H36" s="265" t="s">
        <v>77</v>
      </c>
      <c r="I36" s="265" t="s">
        <v>77</v>
      </c>
      <c r="K36" s="48">
        <v>-0.1</v>
      </c>
      <c r="M36" s="48"/>
      <c r="N36" s="48"/>
      <c r="O36" s="48"/>
    </row>
    <row r="37" spans="1:16" ht="18" customHeight="1" x14ac:dyDescent="0.2">
      <c r="A37" s="5"/>
      <c r="B37" s="6"/>
      <c r="C37" s="63">
        <f>C35</f>
        <v>1</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84" t="str">
        <f>OVERALL!A38</f>
        <v>ADDITIONAL INSIGHT</v>
      </c>
      <c r="B38" s="385"/>
      <c r="C38" s="10" t="s">
        <v>1</v>
      </c>
      <c r="D38" s="31"/>
      <c r="E38" s="31"/>
      <c r="F38" s="31"/>
      <c r="G38" s="31"/>
      <c r="H38" s="31"/>
      <c r="I38" s="31"/>
    </row>
    <row r="39" spans="1:16" ht="18" customHeight="1" x14ac:dyDescent="0.2">
      <c r="A39" s="34" t="str">
        <f>OVERALL!A39</f>
        <v>CALL ANSWERED-QUALITY</v>
      </c>
      <c r="B39" s="3">
        <f>IF(C39=0,"-",COUNTIF(D39:I39, "y")/C39)</f>
        <v>0.16666666666666666</v>
      </c>
      <c r="C39" s="27">
        <f t="shared" ref="C39:C45" si="10">$C$2-COUNTIF(D39:I39, "-")</f>
        <v>6</v>
      </c>
      <c r="D39" s="330" t="s">
        <v>123</v>
      </c>
      <c r="E39" s="315" t="s">
        <v>123</v>
      </c>
      <c r="F39" s="305" t="s">
        <v>123</v>
      </c>
      <c r="G39" s="315" t="s">
        <v>124</v>
      </c>
      <c r="H39" s="324" t="s">
        <v>123</v>
      </c>
      <c r="I39" s="337" t="s">
        <v>123</v>
      </c>
    </row>
    <row r="40" spans="1:16" ht="18" customHeight="1" x14ac:dyDescent="0.2">
      <c r="A40" s="34" t="str">
        <f>OVERALL!A40</f>
        <v>TALK TIME</v>
      </c>
      <c r="B40" s="276">
        <f>IF(C40=0,"-",AVERAGE(D40:I40))</f>
        <v>5.2430555555555555E-3</v>
      </c>
      <c r="C40" s="27">
        <f t="shared" si="10"/>
        <v>1</v>
      </c>
      <c r="D40" s="333" t="s">
        <v>77</v>
      </c>
      <c r="E40" s="316" t="s">
        <v>77</v>
      </c>
      <c r="F40" s="308" t="s">
        <v>77</v>
      </c>
      <c r="G40" s="275">
        <v>5.2430555555555555E-3</v>
      </c>
      <c r="H40" s="327" t="s">
        <v>77</v>
      </c>
      <c r="I40" s="340" t="s">
        <v>77</v>
      </c>
      <c r="J40" s="46"/>
      <c r="K40" s="274"/>
      <c r="L40" s="274"/>
      <c r="M40" s="274"/>
      <c r="N40" s="274"/>
      <c r="O40" s="274"/>
      <c r="P40" s="274"/>
    </row>
    <row r="41" spans="1:16" ht="18" customHeight="1" x14ac:dyDescent="0.2">
      <c r="A41" s="34" t="str">
        <f>OVERALL!A41</f>
        <v>ASSESSOR RATING (0-10)</v>
      </c>
      <c r="B41" s="22">
        <f>IF(C41=0,"-",SUM(D41:I41)/C41)</f>
        <v>4</v>
      </c>
      <c r="C41" s="27">
        <f t="shared" si="10"/>
        <v>1</v>
      </c>
      <c r="D41" s="334" t="s">
        <v>77</v>
      </c>
      <c r="E41" s="317" t="s">
        <v>77</v>
      </c>
      <c r="F41" s="309" t="s">
        <v>77</v>
      </c>
      <c r="G41" s="266">
        <v>4</v>
      </c>
      <c r="H41" s="328" t="s">
        <v>77</v>
      </c>
      <c r="I41" s="341" t="s">
        <v>77</v>
      </c>
    </row>
    <row r="42" spans="1:16" ht="18" customHeight="1" x14ac:dyDescent="0.2">
      <c r="A42" s="34" t="str">
        <f>OVERALL!A42</f>
        <v>EXPLAINED KEY FEATURES</v>
      </c>
      <c r="B42" s="3">
        <f>IF(C42=0,"-",COUNTIF(D42:I42, "y")/C42)</f>
        <v>1</v>
      </c>
      <c r="C42" s="27">
        <f t="shared" si="10"/>
        <v>1</v>
      </c>
      <c r="D42" s="330" t="s">
        <v>77</v>
      </c>
      <c r="E42" s="315" t="s">
        <v>77</v>
      </c>
      <c r="F42" s="305" t="s">
        <v>77</v>
      </c>
      <c r="G42" s="315" t="s">
        <v>124</v>
      </c>
      <c r="H42" s="324" t="s">
        <v>77</v>
      </c>
      <c r="I42" s="337" t="s">
        <v>77</v>
      </c>
      <c r="J42" s="47" t="s">
        <v>1</v>
      </c>
      <c r="K42" t="s">
        <v>1</v>
      </c>
    </row>
    <row r="43" spans="1:16" ht="18" customHeight="1" x14ac:dyDescent="0.2">
      <c r="A43" s="34" t="str">
        <f>OVERALL!A43</f>
        <v>REVEALED PRICING</v>
      </c>
      <c r="B43" s="3">
        <f>IF(C43=0,"-",COUNTIF(D43:I43, "y")/C43)</f>
        <v>1</v>
      </c>
      <c r="C43" s="27">
        <f t="shared" si="10"/>
        <v>1</v>
      </c>
      <c r="D43" s="330" t="s">
        <v>77</v>
      </c>
      <c r="E43" s="315" t="s">
        <v>77</v>
      </c>
      <c r="F43" s="305" t="s">
        <v>77</v>
      </c>
      <c r="G43" s="315" t="s">
        <v>124</v>
      </c>
      <c r="H43" s="324" t="s">
        <v>77</v>
      </c>
      <c r="I43" s="337" t="s">
        <v>77</v>
      </c>
    </row>
    <row r="44" spans="1:16" ht="18" customHeight="1" x14ac:dyDescent="0.2">
      <c r="A44" s="34" t="str">
        <f>OVERALL!A44</f>
        <v>EXPLAINED ACTIONS &amp; PROCESS</v>
      </c>
      <c r="B44" s="3">
        <f>IF(C44=0,"-",COUNTIF(D44:I44, "y")/C44)</f>
        <v>1</v>
      </c>
      <c r="C44" s="27">
        <f t="shared" si="10"/>
        <v>1</v>
      </c>
      <c r="D44" s="330" t="s">
        <v>77</v>
      </c>
      <c r="E44" s="315" t="s">
        <v>77</v>
      </c>
      <c r="F44" s="308" t="s">
        <v>77</v>
      </c>
      <c r="G44" s="315" t="s">
        <v>124</v>
      </c>
      <c r="H44" s="324" t="s">
        <v>77</v>
      </c>
      <c r="I44" s="337" t="s">
        <v>77</v>
      </c>
    </row>
    <row r="45" spans="1:16" ht="18" customHeight="1" x14ac:dyDescent="0.2">
      <c r="A45" s="34" t="str">
        <f>OVERALL!A45</f>
        <v>WEBSITE EDUCATION</v>
      </c>
      <c r="B45" s="3">
        <f>IF(C45=0,"-",COUNTIF(D45:I45, "y")/C45)</f>
        <v>0</v>
      </c>
      <c r="C45" s="27">
        <f t="shared" si="10"/>
        <v>1</v>
      </c>
      <c r="D45" s="330" t="s">
        <v>77</v>
      </c>
      <c r="E45" s="315" t="s">
        <v>77</v>
      </c>
      <c r="F45" s="305" t="s">
        <v>77</v>
      </c>
      <c r="G45" s="315" t="s">
        <v>123</v>
      </c>
      <c r="H45" s="324" t="s">
        <v>77</v>
      </c>
      <c r="I45" s="337" t="s">
        <v>77</v>
      </c>
    </row>
    <row r="46" spans="1:16" ht="18" customHeight="1" x14ac:dyDescent="0.2">
      <c r="A46" s="18"/>
      <c r="B46" s="3"/>
      <c r="C46" s="27"/>
      <c r="D46" s="268"/>
      <c r="E46" s="268"/>
      <c r="F46" s="268"/>
      <c r="G46" s="268"/>
      <c r="H46" s="329"/>
      <c r="I46" s="268"/>
    </row>
    <row r="47" spans="1:16" ht="105" x14ac:dyDescent="0.2">
      <c r="A47" s="26" t="s">
        <v>1</v>
      </c>
      <c r="B47" s="386" t="s">
        <v>35</v>
      </c>
      <c r="C47" s="387"/>
      <c r="D47" s="24" t="s">
        <v>134</v>
      </c>
      <c r="E47" s="24" t="s">
        <v>134</v>
      </c>
      <c r="F47" s="24" t="s">
        <v>134</v>
      </c>
      <c r="G47" s="24" t="s">
        <v>160</v>
      </c>
      <c r="H47" s="24" t="s">
        <v>171</v>
      </c>
      <c r="I47" s="24" t="s">
        <v>171</v>
      </c>
    </row>
    <row r="48" spans="1:16" ht="18" customHeight="1" x14ac:dyDescent="0.2">
      <c r="A48" s="59" t="s">
        <v>47</v>
      </c>
      <c r="D48" s="50" t="str">
        <f t="shared" ref="D48:I48" si="11">IF(D$2="","",IF(D$39="n", "", SUM(D$6,D$12,D$17,D$23,D$28,D$34)))</f>
        <v/>
      </c>
      <c r="E48" s="50" t="str">
        <f t="shared" si="11"/>
        <v/>
      </c>
      <c r="F48" s="50" t="str">
        <f t="shared" si="11"/>
        <v/>
      </c>
      <c r="G48" s="50">
        <f t="shared" si="11"/>
        <v>0.42916666666666664</v>
      </c>
      <c r="H48" s="50" t="str">
        <f t="shared" si="11"/>
        <v/>
      </c>
      <c r="I48" s="50" t="str">
        <f t="shared" si="11"/>
        <v/>
      </c>
    </row>
    <row r="50" spans="1:9" ht="19" x14ac:dyDescent="0.25">
      <c r="A50" s="110" t="s">
        <v>74</v>
      </c>
      <c r="B50" s="90" t="s">
        <v>75</v>
      </c>
    </row>
    <row r="51" spans="1:9" x14ac:dyDescent="0.2">
      <c r="A51" s="111" t="s">
        <v>63</v>
      </c>
      <c r="B51" s="112">
        <v>0.3</v>
      </c>
      <c r="C51" s="111"/>
      <c r="D51" s="256">
        <f>[1]WESTPAC!D$4</f>
        <v>0</v>
      </c>
      <c r="E51" s="256">
        <f>[1]WESTPAC!E$4</f>
        <v>0</v>
      </c>
      <c r="F51" s="256">
        <f>[1]WESTPAC!F$4</f>
        <v>0</v>
      </c>
      <c r="G51" s="256">
        <f>[1]WESTPAC!G$4</f>
        <v>0.24833333333333329</v>
      </c>
      <c r="H51" s="256">
        <f>[1]WESTPAC!H$4</f>
        <v>0</v>
      </c>
      <c r="I51" s="256">
        <f>[1]WESTPAC!I$4</f>
        <v>0</v>
      </c>
    </row>
    <row r="52" spans="1:9" x14ac:dyDescent="0.2">
      <c r="A52" s="111" t="s">
        <v>64</v>
      </c>
      <c r="B52" s="112">
        <v>0.7</v>
      </c>
      <c r="C52" s="111"/>
      <c r="D52" s="257" t="str">
        <f t="shared" ref="D52:I52" si="12">D4</f>
        <v>-</v>
      </c>
      <c r="E52" s="257" t="str">
        <f t="shared" si="12"/>
        <v>-</v>
      </c>
      <c r="F52" s="257" t="str">
        <f t="shared" si="12"/>
        <v>-</v>
      </c>
      <c r="G52" s="257">
        <f t="shared" si="12"/>
        <v>0.42916666666666664</v>
      </c>
      <c r="H52" s="257" t="str">
        <f t="shared" si="12"/>
        <v>-</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0</v>
      </c>
      <c r="G55" s="257">
        <f t="shared" si="13"/>
        <v>7.4499999999999983E-2</v>
      </c>
      <c r="H55" s="257">
        <f t="shared" si="13"/>
        <v>0</v>
      </c>
      <c r="I55" s="257">
        <f t="shared" si="13"/>
        <v>0</v>
      </c>
    </row>
    <row r="56" spans="1:9" x14ac:dyDescent="0.2">
      <c r="A56" s="111" t="s">
        <v>64</v>
      </c>
      <c r="B56" s="111"/>
      <c r="C56" s="111"/>
      <c r="D56" s="257" t="str">
        <f t="shared" ref="D56:I56" si="14">IF(D52="-","-",D52*$B$52)</f>
        <v>-</v>
      </c>
      <c r="E56" s="257" t="str">
        <f t="shared" si="14"/>
        <v>-</v>
      </c>
      <c r="F56" s="257" t="str">
        <f t="shared" si="14"/>
        <v>-</v>
      </c>
      <c r="G56" s="257">
        <f t="shared" si="14"/>
        <v>0.30041666666666661</v>
      </c>
      <c r="H56" s="257" t="str">
        <f t="shared" si="14"/>
        <v>-</v>
      </c>
      <c r="I56" s="257" t="str">
        <f t="shared" si="14"/>
        <v>-</v>
      </c>
    </row>
    <row r="57" spans="1:9" x14ac:dyDescent="0.2">
      <c r="A57" s="114" t="s">
        <v>59</v>
      </c>
      <c r="B57" s="114"/>
      <c r="C57" s="114"/>
      <c r="D57" s="115">
        <f t="shared" ref="D57:I57" si="15">IF(D51="","",IF(D52="","",SUM(D55:D56)))</f>
        <v>0</v>
      </c>
      <c r="E57" s="115">
        <f t="shared" si="15"/>
        <v>0</v>
      </c>
      <c r="F57" s="115">
        <f t="shared" si="15"/>
        <v>0</v>
      </c>
      <c r="G57" s="115">
        <f t="shared" si="15"/>
        <v>0.37491666666666656</v>
      </c>
      <c r="H57" s="115">
        <f t="shared" si="15"/>
        <v>0</v>
      </c>
      <c r="I57" s="115">
        <f t="shared" si="15"/>
        <v>0</v>
      </c>
    </row>
  </sheetData>
  <mergeCells count="2">
    <mergeCell ref="A38:B38"/>
    <mergeCell ref="B47:C47"/>
  </mergeCells>
  <conditionalFormatting sqref="B4">
    <cfRule type="containsBlanks" dxfId="16" priority="6">
      <formula>LEN(TRIM(B4))=0</formula>
    </cfRule>
    <cfRule type="cellIs" dxfId="15" priority="7" operator="greaterThanOrEqual">
      <formula>0.905</formula>
    </cfRule>
    <cfRule type="cellIs" dxfId="14" priority="8" operator="between">
      <formula>0.754999</formula>
      <formula>0.905</formula>
    </cfRule>
    <cfRule type="cellIs" dxfId="13" priority="9" operator="between">
      <formula>0.604999</formula>
      <formula>0.754999</formula>
    </cfRule>
    <cfRule type="cellIs" dxfId="12" priority="10" operator="between">
      <formula>0.44999</formula>
      <formula>0.605</formula>
    </cfRule>
    <cfRule type="cellIs" dxfId="11" priority="11" operator="lessThan">
      <formula>0.45</formula>
    </cfRule>
  </conditionalFormatting>
  <conditionalFormatting sqref="B6">
    <cfRule type="containsText" dxfId="10" priority="5"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I4">
    <cfRule type="containsBlanks" dxfId="5" priority="12">
      <formula>LEN(TRIM(D4))=0</formula>
    </cfRule>
    <cfRule type="cellIs" dxfId="4" priority="13" operator="greaterThanOrEqual">
      <formula>0.905</formula>
    </cfRule>
    <cfRule type="cellIs" dxfId="3" priority="14" operator="between">
      <formula>0.754999</formula>
      <formula>0.905</formula>
    </cfRule>
    <cfRule type="cellIs" dxfId="2" priority="15" operator="between">
      <formula>0.604999</formula>
      <formula>0.754999</formula>
    </cfRule>
    <cfRule type="cellIs" dxfId="1" priority="16" operator="between">
      <formula>0.44999</formula>
      <formula>0.605</formula>
    </cfRule>
    <cfRule type="cellIs" dxfId="0" priority="17"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N1" workbookViewId="0">
      <selection activeCell="Z2" sqref="Z2"/>
    </sheetView>
  </sheetViews>
  <sheetFormatPr baseColWidth="10" defaultColWidth="8.83203125" defaultRowHeight="16" x14ac:dyDescent="0.2"/>
  <cols>
    <col min="1" max="1" width="24.6640625" customWidth="1"/>
  </cols>
  <sheetData>
    <row r="1" spans="1:37" x14ac:dyDescent="0.2">
      <c r="A1" t="s">
        <v>113</v>
      </c>
      <c r="B1" s="273" t="s">
        <v>115</v>
      </c>
      <c r="C1" s="273" t="s">
        <v>116</v>
      </c>
      <c r="D1" s="273" t="s">
        <v>52</v>
      </c>
      <c r="E1" s="273" t="s">
        <v>17</v>
      </c>
      <c r="F1" s="273" t="s">
        <v>18</v>
      </c>
      <c r="G1" s="273" t="s">
        <v>19</v>
      </c>
      <c r="H1" s="273" t="s">
        <v>20</v>
      </c>
      <c r="I1" s="273" t="s">
        <v>53</v>
      </c>
      <c r="J1" s="273" t="s">
        <v>21</v>
      </c>
      <c r="K1" s="273" t="s">
        <v>22</v>
      </c>
      <c r="L1" s="273" t="s">
        <v>23</v>
      </c>
      <c r="M1" s="273" t="s">
        <v>54</v>
      </c>
      <c r="N1" s="273" t="s">
        <v>24</v>
      </c>
      <c r="O1" s="273" t="s">
        <v>27</v>
      </c>
      <c r="P1" s="273" t="s">
        <v>25</v>
      </c>
      <c r="Q1" s="273" t="s">
        <v>26</v>
      </c>
      <c r="R1" s="273" t="s">
        <v>55</v>
      </c>
      <c r="S1" s="273" t="s">
        <v>29</v>
      </c>
      <c r="T1" s="273" t="s">
        <v>28</v>
      </c>
      <c r="U1" s="273" t="s">
        <v>30</v>
      </c>
      <c r="V1" s="273" t="s">
        <v>56</v>
      </c>
      <c r="W1" s="273" t="s">
        <v>31</v>
      </c>
      <c r="X1" s="273" t="s">
        <v>32</v>
      </c>
      <c r="Y1" s="273" t="s">
        <v>33</v>
      </c>
      <c r="Z1" s="273" t="s">
        <v>121</v>
      </c>
      <c r="AA1" s="273" t="s">
        <v>105</v>
      </c>
      <c r="AB1" s="273" t="s">
        <v>57</v>
      </c>
      <c r="AC1" s="273" t="s">
        <v>58</v>
      </c>
      <c r="AD1" s="273" t="s">
        <v>114</v>
      </c>
      <c r="AE1" s="273" t="s">
        <v>40</v>
      </c>
      <c r="AF1" s="273" t="s">
        <v>39</v>
      </c>
      <c r="AG1" s="273" t="s">
        <v>36</v>
      </c>
      <c r="AH1" s="273" t="s">
        <v>37</v>
      </c>
      <c r="AI1" s="273" t="s">
        <v>38</v>
      </c>
      <c r="AJ1" s="273" t="s">
        <v>112</v>
      </c>
      <c r="AK1" s="273" t="s">
        <v>106</v>
      </c>
    </row>
    <row r="2" spans="1:37" x14ac:dyDescent="0.2">
      <c r="A2" t="str">
        <f>IF(LEN(REPORT!A5)&gt;2,REPORT!A5,"")</f>
        <v>ANZ</v>
      </c>
      <c r="B2">
        <f>IFERROR(INDEX(REPORT!$A$2:$BZ$100,MATCH($A2,REPORT!$A$2:$A$100,0),MATCH(B$1,REPORT!$A$2:$BZ$2,0)),"")</f>
        <v>0.69557341269841266</v>
      </c>
      <c r="C2">
        <f>IFERROR(INDEX(REPORT!$A$2:$BZ$100,MATCH($A2,REPORT!$A$2:$A$100,0),MATCH(C$1,REPORT!$A$2:$BZ$2,0)),"")</f>
        <v>0.72222222222222221</v>
      </c>
      <c r="D2">
        <f>IFERROR(INDEX(REPORT!$A$4:$BZ$100,MATCH($A2,REPORT!$A$4:$A$100,0),MATCH(D$1,REPORT!$A$4:$BZ$4,0)),"")</f>
        <v>0.5</v>
      </c>
      <c r="E2">
        <f>IFERROR(INDEX(REPORT!$A$4:$BZ$100,MATCH($A2,REPORT!$A$4:$A$100,0),MATCH(E$1,REPORT!$A$4:$BZ$4,0)),"")</f>
        <v>0.83333333333333337</v>
      </c>
      <c r="F2">
        <f>IFERROR(INDEX(REPORT!$A$4:$BZ$100,MATCH($A2,REPORT!$A$4:$A$100,0),MATCH(F$1,REPORT!$A$4:$BZ$4,0)),"")</f>
        <v>0.5</v>
      </c>
      <c r="G2">
        <f>IFERROR(INDEX(REPORT!$A$4:$BZ$100,MATCH($A2,REPORT!$A$4:$A$100,0),MATCH(G$1,REPORT!$A$4:$BZ$4,0)),"")</f>
        <v>0.16666666666666666</v>
      </c>
      <c r="H2">
        <f>IFERROR(INDEX(REPORT!$A$4:$BZ$100,MATCH($A2,REPORT!$A$4:$A$100,0),MATCH(H$1,REPORT!$A$4:$BZ$4,0)),"")</f>
        <v>0.5</v>
      </c>
      <c r="I2">
        <f>IFERROR(INDEX(REPORT!$A$4:$BZ$100,MATCH($A2,REPORT!$A$4:$A$100,0),MATCH(I$1,REPORT!$A$4:$BZ$4,0)),"")</f>
        <v>0.77777777777777779</v>
      </c>
      <c r="J2">
        <f>IFERROR(INDEX(REPORT!$A$4:$BZ$100,MATCH($A2,REPORT!$A$4:$A$100,0),MATCH(J$1,REPORT!$A$4:$BZ$4,0)),"")</f>
        <v>0.5</v>
      </c>
      <c r="K2">
        <f>IFERROR(INDEX(REPORT!$A$4:$BZ$100,MATCH($A2,REPORT!$A$4:$A$100,0),MATCH(K$1,REPORT!$A$4:$BZ$4,0)),"")</f>
        <v>1</v>
      </c>
      <c r="L2">
        <f>IFERROR(INDEX(REPORT!$A$4:$BZ$100,MATCH($A2,REPORT!$A$4:$A$100,0),MATCH(L$1,REPORT!$A$4:$BZ$4,0)),"")</f>
        <v>0.83333333333333337</v>
      </c>
      <c r="M2">
        <f>IFERROR(INDEX(REPORT!$A$4:$BZ$100,MATCH($A2,REPORT!$A$4:$A$100,0),MATCH(M$1,REPORT!$A$4:$BZ$4,0)),"")</f>
        <v>0.83333333333333326</v>
      </c>
      <c r="N2">
        <f>IFERROR(INDEX(REPORT!$A$4:$BZ$100,MATCH($A2,REPORT!$A$4:$A$100,0),MATCH(N$1,REPORT!$A$4:$BZ$4,0)),"")</f>
        <v>1</v>
      </c>
      <c r="O2">
        <f>IFERROR(INDEX(REPORT!$A$4:$BZ$100,MATCH($A2,REPORT!$A$4:$A$100,0),MATCH(O$1,REPORT!$A$4:$BZ$4,0)),"")</f>
        <v>0.33333333333333331</v>
      </c>
      <c r="P2">
        <f>IFERROR(INDEX(REPORT!$A$4:$BZ$100,MATCH($A2,REPORT!$A$4:$A$100,0),MATCH(P$1,REPORT!$A$4:$BZ$4,0)),"")</f>
        <v>1</v>
      </c>
      <c r="Q2">
        <f>IFERROR(INDEX(REPORT!$A$4:$BZ$100,MATCH($A2,REPORT!$A$4:$A$100,0),MATCH(Q$1,REPORT!$A$4:$BZ$4,0)),"")</f>
        <v>1</v>
      </c>
      <c r="R2">
        <f>IFERROR(INDEX(REPORT!$A$4:$BZ$100,MATCH($A2,REPORT!$A$4:$A$100,0),MATCH(R$1,REPORT!$A$4:$BZ$4,0)),"")</f>
        <v>0.72222222222222232</v>
      </c>
      <c r="S2">
        <f>IFERROR(INDEX(REPORT!$A$4:$BZ$100,MATCH($A2,REPORT!$A$4:$A$100,0),MATCH(S$1,REPORT!$A$4:$BZ$4,0)),"")</f>
        <v>0.83333333333333337</v>
      </c>
      <c r="T2">
        <f>IFERROR(INDEX(REPORT!$A$4:$BZ$100,MATCH($A2,REPORT!$A$4:$A$100,0),MATCH(T$1,REPORT!$A$4:$BZ$4,0)),"")</f>
        <v>0.33333333333333331</v>
      </c>
      <c r="U2">
        <f>IFERROR(INDEX(REPORT!$A$4:$BZ$100,MATCH($A2,REPORT!$A$4:$A$100,0),MATCH(U$1,REPORT!$A$4:$BZ$4,0)),"")</f>
        <v>1</v>
      </c>
      <c r="V2">
        <f>IFERROR(INDEX(REPORT!$A$4:$BZ$100,MATCH($A2,REPORT!$A$4:$A$100,0),MATCH(V$1,REPORT!$A$4:$BZ$4,0)),"")</f>
        <v>0.75</v>
      </c>
      <c r="W2">
        <f>IFERROR(INDEX(REPORT!$A$4:$BZ$100,MATCH($A2,REPORT!$A$4:$A$100,0),MATCH(W$1,REPORT!$A$4:$BZ$4,0)),"")</f>
        <v>1</v>
      </c>
      <c r="X2">
        <f>IFERROR(INDEX(REPORT!$A$4:$BZ$100,MATCH($A2,REPORT!$A$4:$A$100,0),MATCH(X$1,REPORT!$A$4:$BZ$4,0)),"")</f>
        <v>0.5</v>
      </c>
      <c r="Y2">
        <f>IFERROR(INDEX(REPORT!$A$4:$BZ$100,MATCH($A2,REPORT!$A$4:$A$100,0),MATCH(Y$1,REPORT!$A$4:$BZ$4,0)),"")</f>
        <v>0.66666666666666663</v>
      </c>
      <c r="Z2">
        <f>IFERROR(INDEX(REPORT!$A$4:$BZ$100,MATCH($A2,REPORT!$A$4:$A$100,0),MATCH(Z$1,REPORT!$A$4:$BZ$4,0)),"")</f>
        <v>0.83333333333333337</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6.8152006172839509E-3</v>
      </c>
      <c r="AF2">
        <f>IFERROR(INDEX(REPORT!$A$4:$BZ$100,MATCH($A2,REPORT!$A$4:$A$100,0),MATCH(AF$1,REPORT!$A$4:$BZ$4,0)),"")</f>
        <v>6.666666666666667</v>
      </c>
      <c r="AG2">
        <f>IFERROR(INDEX(REPORT!$A$4:$BZ$100,MATCH($A2,REPORT!$A$4:$A$100,0),MATCH(AG$1,REPORT!$A$4:$BZ$4,0)),"")</f>
        <v>1</v>
      </c>
      <c r="AH2">
        <f>IFERROR(INDEX(REPORT!$A$4:$BZ$100,MATCH($A2,REPORT!$A$4:$A$100,0),MATCH(AH$1,REPORT!$A$4:$BZ$4,0)),"")</f>
        <v>1</v>
      </c>
      <c r="AI2">
        <f>IFERROR(INDEX(REPORT!$A$4:$BZ$100,MATCH($A2,REPORT!$A$4:$A$100,0),MATCH(AI$1,REPORT!$A$4:$BZ$4,0)),"")</f>
        <v>1</v>
      </c>
      <c r="AJ2">
        <f>IFERROR(INDEX(REPORT!$A$4:$BZ$100,MATCH($A2,REPORT!$A$4:$A$100,0),MATCH(AJ$1,REPORT!$A$4:$BZ$4,0)),"")</f>
        <v>0.5</v>
      </c>
      <c r="AK2">
        <f>IFERROR(INDEX(REPORT!$A$4:$BZ$100,MATCH($A2,REPORT!$A$4:$A$100,0),MATCH(AK$1,REPORT!$A$4:$BZ$4,0)),"")</f>
        <v>9.5042438271604954E-3</v>
      </c>
    </row>
    <row r="3" spans="1:37" x14ac:dyDescent="0.2">
      <c r="A3" t="str">
        <f>IF(LEN(REPORT!A6)&gt;2,REPORT!A6,"")</f>
        <v>BENDIGO BANK</v>
      </c>
      <c r="B3">
        <f>IFERROR(INDEX(REPORT!$A$2:$BZ$100,MATCH($A3,REPORT!$A$2:$A$100,0),MATCH(B$1,REPORT!$A$2:$BZ$2,0)),"")</f>
        <v>0.20050595238095242</v>
      </c>
      <c r="C3">
        <f>IFERROR(INDEX(REPORT!$A$2:$BZ$100,MATCH($A3,REPORT!$A$2:$A$100,0),MATCH(C$1,REPORT!$A$2:$BZ$2,0)),"")</f>
        <v>0.42291666666666672</v>
      </c>
      <c r="D3">
        <f>IFERROR(INDEX(REPORT!$A$4:$BZ$100,MATCH($A3,REPORT!$A$4:$A$100,0),MATCH(D$1,REPORT!$A$4:$BZ$4,0)),"")</f>
        <v>0.25</v>
      </c>
      <c r="E3">
        <f>IFERROR(INDEX(REPORT!$A$4:$BZ$100,MATCH($A3,REPORT!$A$4:$A$100,0),MATCH(E$1,REPORT!$A$4:$BZ$4,0)),"")</f>
        <v>1</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0.33333333333333331</v>
      </c>
      <c r="J3">
        <f>IFERROR(INDEX(REPORT!$A$4:$BZ$100,MATCH($A3,REPORT!$A$4:$A$100,0),MATCH(J$1,REPORT!$A$4:$BZ$4,0)),"")</f>
        <v>0</v>
      </c>
      <c r="K3">
        <f>IFERROR(INDEX(REPORT!$A$4:$BZ$100,MATCH($A3,REPORT!$A$4:$A$100,0),MATCH(K$1,REPORT!$A$4:$BZ$4,0)),"")</f>
        <v>1</v>
      </c>
      <c r="L3">
        <f>IFERROR(INDEX(REPORT!$A$4:$BZ$100,MATCH($A3,REPORT!$A$4:$A$100,0),MATCH(L$1,REPORT!$A$4:$BZ$4,0)),"")</f>
        <v>0</v>
      </c>
      <c r="M3">
        <f>IFERROR(INDEX(REPORT!$A$4:$BZ$100,MATCH($A3,REPORT!$A$4:$A$100,0),MATCH(M$1,REPORT!$A$4:$BZ$4,0)),"")</f>
        <v>0.625</v>
      </c>
      <c r="N3">
        <f>IFERROR(INDEX(REPORT!$A$4:$BZ$100,MATCH($A3,REPORT!$A$4:$A$100,0),MATCH(N$1,REPORT!$A$4:$BZ$4,0)),"")</f>
        <v>0.5</v>
      </c>
      <c r="O3">
        <f>IFERROR(INDEX(REPORT!$A$4:$BZ$100,MATCH($A3,REPORT!$A$4:$A$100,0),MATCH(O$1,REPORT!$A$4:$BZ$4,0)),"")</f>
        <v>0.5</v>
      </c>
      <c r="P3">
        <f>IFERROR(INDEX(REPORT!$A$4:$BZ$100,MATCH($A3,REPORT!$A$4:$A$100,0),MATCH(P$1,REPORT!$A$4:$BZ$4,0)),"")</f>
        <v>0.5</v>
      </c>
      <c r="Q3">
        <f>IFERROR(INDEX(REPORT!$A$4:$BZ$100,MATCH($A3,REPORT!$A$4:$A$100,0),MATCH(Q$1,REPORT!$A$4:$BZ$4,0)),"")</f>
        <v>1</v>
      </c>
      <c r="R3">
        <f>IFERROR(INDEX(REPORT!$A$4:$BZ$100,MATCH($A3,REPORT!$A$4:$A$100,0),MATCH(R$1,REPORT!$A$4:$BZ$4,0)),"")</f>
        <v>0.5</v>
      </c>
      <c r="S3">
        <f>IFERROR(INDEX(REPORT!$A$4:$BZ$100,MATCH($A3,REPORT!$A$4:$A$100,0),MATCH(S$1,REPORT!$A$4:$BZ$4,0)),"")</f>
        <v>0.5</v>
      </c>
      <c r="T3">
        <f>IFERROR(INDEX(REPORT!$A$4:$BZ$100,MATCH($A3,REPORT!$A$4:$A$100,0),MATCH(T$1,REPORT!$A$4:$BZ$4,0)),"")</f>
        <v>0</v>
      </c>
      <c r="U3">
        <f>IFERROR(INDEX(REPORT!$A$4:$BZ$100,MATCH($A3,REPORT!$A$4:$A$100,0),MATCH(U$1,REPORT!$A$4:$BZ$4,0)),"")</f>
        <v>1</v>
      </c>
      <c r="V3">
        <f>IFERROR(INDEX(REPORT!$A$4:$BZ$100,MATCH($A3,REPORT!$A$4:$A$100,0),MATCH(V$1,REPORT!$A$4:$BZ$4,0)),"")</f>
        <v>0.375</v>
      </c>
      <c r="W3">
        <f>IFERROR(INDEX(REPORT!$A$4:$BZ$100,MATCH($A3,REPORT!$A$4:$A$100,0),MATCH(W$1,REPORT!$A$4:$BZ$4,0)),"")</f>
        <v>1</v>
      </c>
      <c r="X3">
        <f>IFERROR(INDEX(REPORT!$A$4:$BZ$100,MATCH($A3,REPORT!$A$4:$A$100,0),MATCH(X$1,REPORT!$A$4:$BZ$4,0)),"")</f>
        <v>0.5</v>
      </c>
      <c r="Y3">
        <f>IFERROR(INDEX(REPORT!$A$4:$BZ$100,MATCH($A3,REPORT!$A$4:$A$100,0),MATCH(Y$1,REPORT!$A$4:$BZ$4,0)),"")</f>
        <v>0</v>
      </c>
      <c r="Z3">
        <f>IFERROR(INDEX(REPORT!$A$4:$BZ$100,MATCH($A3,REPORT!$A$4:$A$100,0),MATCH(Z$1,REPORT!$A$4:$BZ$4,0)),"")</f>
        <v>0</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0.33333333333333331</v>
      </c>
      <c r="AE3">
        <f>IFERROR(INDEX(REPORT!$A$4:$BZ$100,MATCH($A3,REPORT!$A$4:$A$100,0),MATCH(AE$1,REPORT!$A$4:$BZ$4,0)),"")</f>
        <v>4.9479166666666664E-3</v>
      </c>
      <c r="AF3">
        <f>IFERROR(INDEX(REPORT!$A$4:$BZ$100,MATCH($A3,REPORT!$A$4:$A$100,0),MATCH(AF$1,REPORT!$A$4:$BZ$4,0)),"")</f>
        <v>4</v>
      </c>
      <c r="AG3">
        <f>IFERROR(INDEX(REPORT!$A$4:$BZ$100,MATCH($A3,REPORT!$A$4:$A$100,0),MATCH(AG$1,REPORT!$A$4:$BZ$4,0)),"")</f>
        <v>0.5</v>
      </c>
      <c r="AH3">
        <f>IFERROR(INDEX(REPORT!$A$4:$BZ$100,MATCH($A3,REPORT!$A$4:$A$100,0),MATCH(AH$1,REPORT!$A$4:$BZ$4,0)),"")</f>
        <v>1</v>
      </c>
      <c r="AI3">
        <f>IFERROR(INDEX(REPORT!$A$4:$BZ$100,MATCH($A3,REPORT!$A$4:$A$100,0),MATCH(AI$1,REPORT!$A$4:$BZ$4,0)),"")</f>
        <v>1</v>
      </c>
      <c r="AJ3">
        <f>IFERROR(INDEX(REPORT!$A$4:$BZ$100,MATCH($A3,REPORT!$A$4:$A$100,0),MATCH(AJ$1,REPORT!$A$4:$BZ$4,0)),"")</f>
        <v>0.5</v>
      </c>
      <c r="AK3">
        <f>IFERROR(INDEX(REPORT!$A$4:$BZ$100,MATCH($A3,REPORT!$A$4:$A$100,0),MATCH(AK$1,REPORT!$A$4:$BZ$4,0)),"")</f>
        <v>1.0871913580246913E-2</v>
      </c>
    </row>
    <row r="4" spans="1:37" x14ac:dyDescent="0.2">
      <c r="A4" t="str">
        <f>IF(LEN(REPORT!A7)&gt;2,REPORT!A7,"")</f>
        <v>CBA</v>
      </c>
      <c r="B4">
        <f>IFERROR(INDEX(REPORT!$A$2:$BZ$100,MATCH($A4,REPORT!$A$2:$A$100,0),MATCH(B$1,REPORT!$A$2:$BZ$2,0)),"")</f>
        <v>0.488875</v>
      </c>
      <c r="C4">
        <f>IFERROR(INDEX(REPORT!$A$2:$BZ$100,MATCH($A4,REPORT!$A$2:$A$100,0),MATCH(C$1,REPORT!$A$2:$BZ$2,0)),"")</f>
        <v>0.5625</v>
      </c>
      <c r="D4">
        <f>IFERROR(INDEX(REPORT!$A$4:$BZ$100,MATCH($A4,REPORT!$A$4:$A$100,0),MATCH(D$1,REPORT!$A$4:$BZ$4,0)),"")</f>
        <v>0.5</v>
      </c>
      <c r="E4">
        <f>IFERROR(INDEX(REPORT!$A$4:$BZ$100,MATCH($A4,REPORT!$A$4:$A$100,0),MATCH(E$1,REPORT!$A$4:$BZ$4,0)),"")</f>
        <v>0.5</v>
      </c>
      <c r="F4">
        <f>IFERROR(INDEX(REPORT!$A$4:$BZ$100,MATCH($A4,REPORT!$A$4:$A$100,0),MATCH(F$1,REPORT!$A$4:$BZ$4,0)),"")</f>
        <v>0.66666666666666663</v>
      </c>
      <c r="G4">
        <f>IFERROR(INDEX(REPORT!$A$4:$BZ$100,MATCH($A4,REPORT!$A$4:$A$100,0),MATCH(G$1,REPORT!$A$4:$BZ$4,0)),"")</f>
        <v>0.83333333333333337</v>
      </c>
      <c r="H4">
        <f>IFERROR(INDEX(REPORT!$A$4:$BZ$100,MATCH($A4,REPORT!$A$4:$A$100,0),MATCH(H$1,REPORT!$A$4:$BZ$4,0)),"")</f>
        <v>0</v>
      </c>
      <c r="I4">
        <f>IFERROR(INDEX(REPORT!$A$4:$BZ$100,MATCH($A4,REPORT!$A$4:$A$100,0),MATCH(I$1,REPORT!$A$4:$BZ$4,0)),"")</f>
        <v>0.33333333333333331</v>
      </c>
      <c r="J4">
        <f>IFERROR(INDEX(REPORT!$A$4:$BZ$100,MATCH($A4,REPORT!$A$4:$A$100,0),MATCH(J$1,REPORT!$A$4:$BZ$4,0)),"")</f>
        <v>0</v>
      </c>
      <c r="K4">
        <f>IFERROR(INDEX(REPORT!$A$4:$BZ$100,MATCH($A4,REPORT!$A$4:$A$100,0),MATCH(K$1,REPORT!$A$4:$BZ$4,0)),"")</f>
        <v>0.83333333333333337</v>
      </c>
      <c r="L4">
        <f>IFERROR(INDEX(REPORT!$A$4:$BZ$100,MATCH($A4,REPORT!$A$4:$A$100,0),MATCH(L$1,REPORT!$A$4:$BZ$4,0)),"")</f>
        <v>0.16666666666666666</v>
      </c>
      <c r="M4">
        <f>IFERROR(INDEX(REPORT!$A$4:$BZ$100,MATCH($A4,REPORT!$A$4:$A$100,0),MATCH(M$1,REPORT!$A$4:$BZ$4,0)),"")</f>
        <v>0.58333333333333326</v>
      </c>
      <c r="N4">
        <f>IFERROR(INDEX(REPORT!$A$4:$BZ$100,MATCH($A4,REPORT!$A$4:$A$100,0),MATCH(N$1,REPORT!$A$4:$BZ$4,0)),"")</f>
        <v>0.33333333333333331</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0.61111111111111105</v>
      </c>
      <c r="S4">
        <f>IFERROR(INDEX(REPORT!$A$4:$BZ$100,MATCH($A4,REPORT!$A$4:$A$100,0),MATCH(S$1,REPORT!$A$4:$BZ$4,0)),"")</f>
        <v>0.5</v>
      </c>
      <c r="T4">
        <f>IFERROR(INDEX(REPORT!$A$4:$BZ$100,MATCH($A4,REPORT!$A$4:$A$100,0),MATCH(T$1,REPORT!$A$4:$BZ$4,0)),"")</f>
        <v>0.33333333333333331</v>
      </c>
      <c r="U4">
        <f>IFERROR(INDEX(REPORT!$A$4:$BZ$100,MATCH($A4,REPORT!$A$4:$A$100,0),MATCH(U$1,REPORT!$A$4:$BZ$4,0)),"")</f>
        <v>1</v>
      </c>
      <c r="V4">
        <f>IFERROR(INDEX(REPORT!$A$4:$BZ$100,MATCH($A4,REPORT!$A$4:$A$100,0),MATCH(V$1,REPORT!$A$4:$BZ$4,0)),"")</f>
        <v>0.79166666666666674</v>
      </c>
      <c r="W4">
        <f>IFERROR(INDEX(REPORT!$A$4:$BZ$100,MATCH($A4,REPORT!$A$4:$A$100,0),MATCH(W$1,REPORT!$A$4:$BZ$4,0)),"")</f>
        <v>1</v>
      </c>
      <c r="X4">
        <f>IFERROR(INDEX(REPORT!$A$4:$BZ$100,MATCH($A4,REPORT!$A$4:$A$100,0),MATCH(X$1,REPORT!$A$4:$BZ$4,0)),"")</f>
        <v>0.5</v>
      </c>
      <c r="Y4">
        <f>IFERROR(INDEX(REPORT!$A$4:$BZ$100,MATCH($A4,REPORT!$A$4:$A$100,0),MATCH(Y$1,REPORT!$A$4:$BZ$4,0)),"")</f>
        <v>0.83333333333333337</v>
      </c>
      <c r="Z4">
        <f>IFERROR(INDEX(REPORT!$A$4:$BZ$100,MATCH($A4,REPORT!$A$4:$A$100,0),MATCH(Z$1,REPORT!$A$4:$BZ$4,0)),"")</f>
        <v>0.83333333333333337</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5.0810185185185186E-3</v>
      </c>
      <c r="AF4">
        <f>IFERROR(INDEX(REPORT!$A$4:$BZ$100,MATCH($A4,REPORT!$A$4:$A$100,0),MATCH(AF$1,REPORT!$A$4:$BZ$4,0)),"")</f>
        <v>5</v>
      </c>
      <c r="AG4">
        <f>IFERROR(INDEX(REPORT!$A$4:$BZ$100,MATCH($A4,REPORT!$A$4:$A$100,0),MATCH(AG$1,REPORT!$A$4:$BZ$4,0)),"")</f>
        <v>0.33333333333333331</v>
      </c>
      <c r="AH4">
        <f>IFERROR(INDEX(REPORT!$A$4:$BZ$100,MATCH($A4,REPORT!$A$4:$A$100,0),MATCH(AH$1,REPORT!$A$4:$BZ$4,0)),"")</f>
        <v>0.5</v>
      </c>
      <c r="AI4">
        <f>IFERROR(INDEX(REPORT!$A$4:$BZ$100,MATCH($A4,REPORT!$A$4:$A$100,0),MATCH(AI$1,REPORT!$A$4:$BZ$4,0)),"")</f>
        <v>1</v>
      </c>
      <c r="AJ4">
        <f>IFERROR(INDEX(REPORT!$A$4:$BZ$100,MATCH($A4,REPORT!$A$4:$A$100,0),MATCH(AJ$1,REPORT!$A$4:$BZ$4,0)),"")</f>
        <v>0.5</v>
      </c>
      <c r="AK4">
        <f>IFERROR(INDEX(REPORT!$A$4:$BZ$100,MATCH($A4,REPORT!$A$4:$A$100,0),MATCH(AK$1,REPORT!$A$4:$BZ$4,0)),"")</f>
        <v>8.6323302469135804E-3</v>
      </c>
    </row>
    <row r="5" spans="1:37" x14ac:dyDescent="0.2">
      <c r="A5" t="str">
        <f>IF(LEN(REPORT!A8)&gt;2,REPORT!A8,"")</f>
        <v>ING</v>
      </c>
      <c r="B5">
        <f>IFERROR(INDEX(REPORT!$A$2:$BZ$100,MATCH($A5,REPORT!$A$2:$A$100,0),MATCH(B$1,REPORT!$A$2:$BZ$2,0)),"")</f>
        <v>6.3425595238095211E-2</v>
      </c>
      <c r="C5">
        <f>IFERROR(INDEX(REPORT!$A$2:$BZ$100,MATCH($A5,REPORT!$A$2:$A$100,0),MATCH(C$1,REPORT!$A$2:$BZ$2,0)),"")</f>
        <v>0.34791666666666665</v>
      </c>
      <c r="D5">
        <f>IFERROR(INDEX(REPORT!$A$4:$BZ$100,MATCH($A5,REPORT!$A$4:$A$100,0),MATCH(D$1,REPORT!$A$4:$BZ$4,0)),"")</f>
        <v>0</v>
      </c>
      <c r="E5">
        <f>IFERROR(INDEX(REPORT!$A$4:$BZ$100,MATCH($A5,REPORT!$A$4:$A$100,0),MATCH(E$1,REPORT!$A$4:$BZ$4,0)),"")</f>
        <v>0</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0.625</v>
      </c>
      <c r="N5">
        <f>IFERROR(INDEX(REPORT!$A$4:$BZ$100,MATCH($A5,REPORT!$A$4:$A$100,0),MATCH(N$1,REPORT!$A$4:$BZ$4,0)),"")</f>
        <v>0.5</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0.33333333333333331</v>
      </c>
      <c r="S5">
        <f>IFERROR(INDEX(REPORT!$A$4:$BZ$100,MATCH($A5,REPORT!$A$4:$A$100,0),MATCH(S$1,REPORT!$A$4:$BZ$4,0)),"")</f>
        <v>0.5</v>
      </c>
      <c r="T5">
        <f>IFERROR(INDEX(REPORT!$A$4:$BZ$100,MATCH($A5,REPORT!$A$4:$A$100,0),MATCH(T$1,REPORT!$A$4:$BZ$4,0)),"")</f>
        <v>0</v>
      </c>
      <c r="U5">
        <f>IFERROR(INDEX(REPORT!$A$4:$BZ$100,MATCH($A5,REPORT!$A$4:$A$100,0),MATCH(U$1,REPORT!$A$4:$BZ$4,0)),"")</f>
        <v>0.5</v>
      </c>
      <c r="V5">
        <f>IFERROR(INDEX(REPORT!$A$4:$BZ$100,MATCH($A5,REPORT!$A$4:$A$100,0),MATCH(V$1,REPORT!$A$4:$BZ$4,0)),"")</f>
        <v>0.375</v>
      </c>
      <c r="W5">
        <f>IFERROR(INDEX(REPORT!$A$4:$BZ$100,MATCH($A5,REPORT!$A$4:$A$100,0),MATCH(W$1,REPORT!$A$4:$BZ$4,0)),"")</f>
        <v>1</v>
      </c>
      <c r="X5">
        <f>IFERROR(INDEX(REPORT!$A$4:$BZ$100,MATCH($A5,REPORT!$A$4:$A$100,0),MATCH(X$1,REPORT!$A$4:$BZ$4,0)),"")</f>
        <v>0</v>
      </c>
      <c r="Y5">
        <f>IFERROR(INDEX(REPORT!$A$4:$BZ$100,MATCH($A5,REPORT!$A$4:$A$100,0),MATCH(Y$1,REPORT!$A$4:$BZ$4,0)),"")</f>
        <v>0.5</v>
      </c>
      <c r="Z5">
        <f>IFERROR(INDEX(REPORT!$A$4:$BZ$100,MATCH($A5,REPORT!$A$4:$A$100,0),MATCH(Z$1,REPORT!$A$4:$BZ$4,0)),"")</f>
        <v>0</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0.33333333333333331</v>
      </c>
      <c r="AE5">
        <f>IFERROR(INDEX(REPORT!$A$4:$BZ$100,MATCH($A5,REPORT!$A$4:$A$100,0),MATCH(AE$1,REPORT!$A$4:$BZ$4,0)),"")</f>
        <v>3.6458333333333334E-3</v>
      </c>
      <c r="AF5">
        <f>IFERROR(INDEX(REPORT!$A$4:$BZ$100,MATCH($A5,REPORT!$A$4:$A$100,0),MATCH(AF$1,REPORT!$A$4:$BZ$4,0)),"")</f>
        <v>3.5</v>
      </c>
      <c r="AG5">
        <f>IFERROR(INDEX(REPORT!$A$4:$BZ$100,MATCH($A5,REPORT!$A$4:$A$100,0),MATCH(AG$1,REPORT!$A$4:$BZ$4,0)),"")</f>
        <v>1</v>
      </c>
      <c r="AH5">
        <f>IFERROR(INDEX(REPORT!$A$4:$BZ$100,MATCH($A5,REPORT!$A$4:$A$100,0),MATCH(AH$1,REPORT!$A$4:$BZ$4,0)),"")</f>
        <v>0.5</v>
      </c>
      <c r="AI5">
        <f>IFERROR(INDEX(REPORT!$A$4:$BZ$100,MATCH($A5,REPORT!$A$4:$A$100,0),MATCH(AI$1,REPORT!$A$4:$BZ$4,0)),"")</f>
        <v>1</v>
      </c>
      <c r="AJ5">
        <f>IFERROR(INDEX(REPORT!$A$4:$BZ$100,MATCH($A5,REPORT!$A$4:$A$100,0),MATCH(AJ$1,REPORT!$A$4:$BZ$4,0)),"")</f>
        <v>1</v>
      </c>
      <c r="AK5">
        <f>IFERROR(INDEX(REPORT!$A$4:$BZ$100,MATCH($A5,REPORT!$A$4:$A$100,0),MATCH(AK$1,REPORT!$A$4:$BZ$4,0)),"")</f>
        <v>1.0931712962962963E-2</v>
      </c>
    </row>
    <row r="6" spans="1:37" x14ac:dyDescent="0.2">
      <c r="A6" t="str">
        <f>IF(LEN(REPORT!A9)&gt;2,REPORT!A9,"")</f>
        <v>NAB</v>
      </c>
      <c r="B6">
        <f>IFERROR(INDEX(REPORT!$A$2:$BZ$100,MATCH($A6,REPORT!$A$2:$A$100,0),MATCH(B$1,REPORT!$A$2:$BZ$2,0)),"")</f>
        <v>0.55417261904761905</v>
      </c>
      <c r="C6">
        <f>IFERROR(INDEX(REPORT!$A$2:$BZ$100,MATCH($A6,REPORT!$A$2:$A$100,0),MATCH(C$1,REPORT!$A$2:$BZ$2,0)),"")</f>
        <v>0.6183333333333334</v>
      </c>
      <c r="D6">
        <f>IFERROR(INDEX(REPORT!$A$4:$BZ$100,MATCH($A6,REPORT!$A$4:$A$100,0),MATCH(D$1,REPORT!$A$4:$BZ$4,0)),"")</f>
        <v>0.5</v>
      </c>
      <c r="E6">
        <f>IFERROR(INDEX(REPORT!$A$4:$BZ$100,MATCH($A6,REPORT!$A$4:$A$100,0),MATCH(E$1,REPORT!$A$4:$BZ$4,0)),"")</f>
        <v>1</v>
      </c>
      <c r="F6">
        <f>IFERROR(INDEX(REPORT!$A$4:$BZ$100,MATCH($A6,REPORT!$A$4:$A$100,0),MATCH(F$1,REPORT!$A$4:$BZ$4,0)),"")</f>
        <v>0.2</v>
      </c>
      <c r="G6">
        <f>IFERROR(INDEX(REPORT!$A$4:$BZ$100,MATCH($A6,REPORT!$A$4:$A$100,0),MATCH(G$1,REPORT!$A$4:$BZ$4,0)),"")</f>
        <v>0.8</v>
      </c>
      <c r="H6">
        <f>IFERROR(INDEX(REPORT!$A$4:$BZ$100,MATCH($A6,REPORT!$A$4:$A$100,0),MATCH(H$1,REPORT!$A$4:$BZ$4,0)),"")</f>
        <v>0</v>
      </c>
      <c r="I6">
        <f>IFERROR(INDEX(REPORT!$A$4:$BZ$100,MATCH($A6,REPORT!$A$4:$A$100,0),MATCH(I$1,REPORT!$A$4:$BZ$4,0)),"")</f>
        <v>0.46666666666666662</v>
      </c>
      <c r="J6">
        <f>IFERROR(INDEX(REPORT!$A$4:$BZ$100,MATCH($A6,REPORT!$A$4:$A$100,0),MATCH(J$1,REPORT!$A$4:$BZ$4,0)),"")</f>
        <v>0</v>
      </c>
      <c r="K6">
        <f>IFERROR(INDEX(REPORT!$A$4:$BZ$100,MATCH($A6,REPORT!$A$4:$A$100,0),MATCH(K$1,REPORT!$A$4:$BZ$4,0)),"")</f>
        <v>1</v>
      </c>
      <c r="L6">
        <f>IFERROR(INDEX(REPORT!$A$4:$BZ$100,MATCH($A6,REPORT!$A$4:$A$100,0),MATCH(L$1,REPORT!$A$4:$BZ$4,0)),"")</f>
        <v>0.4</v>
      </c>
      <c r="M6">
        <f>IFERROR(INDEX(REPORT!$A$4:$BZ$100,MATCH($A6,REPORT!$A$4:$A$100,0),MATCH(M$1,REPORT!$A$4:$BZ$4,0)),"")</f>
        <v>0.7</v>
      </c>
      <c r="N6">
        <f>IFERROR(INDEX(REPORT!$A$4:$BZ$100,MATCH($A6,REPORT!$A$4:$A$100,0),MATCH(N$1,REPORT!$A$4:$BZ$4,0)),"")</f>
        <v>0.6</v>
      </c>
      <c r="O6">
        <f>IFERROR(INDEX(REPORT!$A$4:$BZ$100,MATCH($A6,REPORT!$A$4:$A$100,0),MATCH(O$1,REPORT!$A$4:$BZ$4,0)),"")</f>
        <v>0.2</v>
      </c>
      <c r="P6">
        <f>IFERROR(INDEX(REPORT!$A$4:$BZ$100,MATCH($A6,REPORT!$A$4:$A$100,0),MATCH(P$1,REPORT!$A$4:$BZ$4,0)),"")</f>
        <v>1</v>
      </c>
      <c r="Q6">
        <f>IFERROR(INDEX(REPORT!$A$4:$BZ$100,MATCH($A6,REPORT!$A$4:$A$100,0),MATCH(Q$1,REPORT!$A$4:$BZ$4,0)),"")</f>
        <v>1</v>
      </c>
      <c r="R6">
        <f>IFERROR(INDEX(REPORT!$A$4:$BZ$100,MATCH($A6,REPORT!$A$4:$A$100,0),MATCH(R$1,REPORT!$A$4:$BZ$4,0)),"")</f>
        <v>0.73333333333333339</v>
      </c>
      <c r="S6">
        <f>IFERROR(INDEX(REPORT!$A$4:$BZ$100,MATCH($A6,REPORT!$A$4:$A$100,0),MATCH(S$1,REPORT!$A$4:$BZ$4,0)),"")</f>
        <v>0.6</v>
      </c>
      <c r="T6">
        <f>IFERROR(INDEX(REPORT!$A$4:$BZ$100,MATCH($A6,REPORT!$A$4:$A$100,0),MATCH(T$1,REPORT!$A$4:$BZ$4,0)),"")</f>
        <v>0.6</v>
      </c>
      <c r="U6">
        <f>IFERROR(INDEX(REPORT!$A$4:$BZ$100,MATCH($A6,REPORT!$A$4:$A$100,0),MATCH(U$1,REPORT!$A$4:$BZ$4,0)),"")</f>
        <v>1</v>
      </c>
      <c r="V6">
        <f>IFERROR(INDEX(REPORT!$A$4:$BZ$100,MATCH($A6,REPORT!$A$4:$A$100,0),MATCH(V$1,REPORT!$A$4:$BZ$4,0)),"")</f>
        <v>0.70000000000000007</v>
      </c>
      <c r="W6">
        <f>IFERROR(INDEX(REPORT!$A$4:$BZ$100,MATCH($A6,REPORT!$A$4:$A$100,0),MATCH(W$1,REPORT!$A$4:$BZ$4,0)),"")</f>
        <v>1</v>
      </c>
      <c r="X6">
        <f>IFERROR(INDEX(REPORT!$A$4:$BZ$100,MATCH($A6,REPORT!$A$4:$A$100,0),MATCH(X$1,REPORT!$A$4:$BZ$4,0)),"")</f>
        <v>0.8</v>
      </c>
      <c r="Y6">
        <f>IFERROR(INDEX(REPORT!$A$4:$BZ$100,MATCH($A6,REPORT!$A$4:$A$100,0),MATCH(Y$1,REPORT!$A$4:$BZ$4,0)),"")</f>
        <v>0.4</v>
      </c>
      <c r="Z6">
        <f>IFERROR(INDEX(REPORT!$A$4:$BZ$100,MATCH($A6,REPORT!$A$4:$A$100,0),MATCH(Z$1,REPORT!$A$4:$BZ$4,0)),"")</f>
        <v>0.6</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0.83333333333333337</v>
      </c>
      <c r="AE6">
        <f>IFERROR(INDEX(REPORT!$A$4:$BZ$100,MATCH($A6,REPORT!$A$4:$A$100,0),MATCH(AE$1,REPORT!$A$4:$BZ$4,0)),"")</f>
        <v>6.4675925925925925E-3</v>
      </c>
      <c r="AF6">
        <f>IFERROR(INDEX(REPORT!$A$4:$BZ$100,MATCH($A6,REPORT!$A$4:$A$100,0),MATCH(AF$1,REPORT!$A$4:$BZ$4,0)),"")</f>
        <v>5.6</v>
      </c>
      <c r="AG6">
        <f>IFERROR(INDEX(REPORT!$A$4:$BZ$100,MATCH($A6,REPORT!$A$4:$A$100,0),MATCH(AG$1,REPORT!$A$4:$BZ$4,0)),"")</f>
        <v>0.8</v>
      </c>
      <c r="AH6">
        <f>IFERROR(INDEX(REPORT!$A$4:$BZ$100,MATCH($A6,REPORT!$A$4:$A$100,0),MATCH(AH$1,REPORT!$A$4:$BZ$4,0)),"")</f>
        <v>0.6</v>
      </c>
      <c r="AI6">
        <f>IFERROR(INDEX(REPORT!$A$4:$BZ$100,MATCH($A6,REPORT!$A$4:$A$100,0),MATCH(AI$1,REPORT!$A$4:$BZ$4,0)),"")</f>
        <v>1</v>
      </c>
      <c r="AJ6">
        <f>IFERROR(INDEX(REPORT!$A$4:$BZ$100,MATCH($A6,REPORT!$A$4:$A$100,0),MATCH(AJ$1,REPORT!$A$4:$BZ$4,0)),"")</f>
        <v>0.8</v>
      </c>
      <c r="AK6">
        <f>IFERROR(INDEX(REPORT!$A$4:$BZ$100,MATCH($A6,REPORT!$A$4:$A$100,0),MATCH(AK$1,REPORT!$A$4:$BZ$4,0)),"")</f>
        <v>1.0408564814814815E-2</v>
      </c>
    </row>
    <row r="7" spans="1:37" x14ac:dyDescent="0.2">
      <c r="A7" t="str">
        <f>IF(LEN(REPORT!A10)&gt;2,REPORT!A10,"")</f>
        <v>WESTPAC</v>
      </c>
      <c r="B7">
        <f>IFERROR(INDEX(REPORT!$A$2:$BZ$100,MATCH($A7,REPORT!$A$2:$A$100,0),MATCH(B$1,REPORT!$A$2:$BZ$2,0)),"")</f>
        <v>1.2833333333333308E-2</v>
      </c>
      <c r="C7">
        <f>IFERROR(INDEX(REPORT!$A$2:$BZ$100,MATCH($A7,REPORT!$A$2:$A$100,0),MATCH(C$1,REPORT!$A$2:$BZ$2,0)),"")</f>
        <v>0.42916666666666664</v>
      </c>
      <c r="D7">
        <f>IFERROR(INDEX(REPORT!$A$4:$BZ$100,MATCH($A7,REPORT!$A$4:$A$100,0),MATCH(D$1,REPORT!$A$4:$BZ$4,0)),"")</f>
        <v>0.5</v>
      </c>
      <c r="E7">
        <f>IFERROR(INDEX(REPORT!$A$4:$BZ$100,MATCH($A7,REPORT!$A$4:$A$100,0),MATCH(E$1,REPORT!$A$4:$BZ$4,0)),"")</f>
        <v>1</v>
      </c>
      <c r="F7">
        <f>IFERROR(INDEX(REPORT!$A$4:$BZ$100,MATCH($A7,REPORT!$A$4:$A$100,0),MATCH(F$1,REPORT!$A$4:$BZ$4,0)),"")</f>
        <v>0</v>
      </c>
      <c r="G7">
        <f>IFERROR(INDEX(REPORT!$A$4:$BZ$100,MATCH($A7,REPORT!$A$4:$A$100,0),MATCH(G$1,REPORT!$A$4:$BZ$4,0)),"")</f>
        <v>1</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0.25</v>
      </c>
      <c r="N7">
        <f>IFERROR(INDEX(REPORT!$A$4:$BZ$100,MATCH($A7,REPORT!$A$4:$A$100,0),MATCH(N$1,REPORT!$A$4:$BZ$4,0)),"")</f>
        <v>1</v>
      </c>
      <c r="O7">
        <f>IFERROR(INDEX(REPORT!$A$4:$BZ$100,MATCH($A7,REPORT!$A$4:$A$100,0),MATCH(O$1,REPORT!$A$4:$BZ$4,0)),"")</f>
        <v>0</v>
      </c>
      <c r="P7">
        <f>IFERROR(INDEX(REPORT!$A$4:$BZ$100,MATCH($A7,REPORT!$A$4:$A$100,0),MATCH(P$1,REPORT!$A$4:$BZ$4,0)),"")</f>
        <v>0</v>
      </c>
      <c r="Q7">
        <f>IFERROR(INDEX(REPORT!$A$4:$BZ$100,MATCH($A7,REPORT!$A$4:$A$100,0),MATCH(Q$1,REPORT!$A$4:$BZ$4,0)),"")</f>
        <v>0</v>
      </c>
      <c r="R7">
        <f>IFERROR(INDEX(REPORT!$A$4:$BZ$100,MATCH($A7,REPORT!$A$4:$A$100,0),MATCH(R$1,REPORT!$A$4:$BZ$4,0)),"")</f>
        <v>1</v>
      </c>
      <c r="S7">
        <f>IFERROR(INDEX(REPORT!$A$4:$BZ$100,MATCH($A7,REPORT!$A$4:$A$100,0),MATCH(S$1,REPORT!$A$4:$BZ$4,0)),"")</f>
        <v>1</v>
      </c>
      <c r="T7">
        <f>IFERROR(INDEX(REPORT!$A$4:$BZ$100,MATCH($A7,REPORT!$A$4:$A$100,0),MATCH(T$1,REPORT!$A$4:$BZ$4,0)),"")</f>
        <v>1</v>
      </c>
      <c r="U7">
        <f>IFERROR(INDEX(REPORT!$A$4:$BZ$100,MATCH($A7,REPORT!$A$4:$A$100,0),MATCH(U$1,REPORT!$A$4:$BZ$4,0)),"")</f>
        <v>1</v>
      </c>
      <c r="V7">
        <f>IFERROR(INDEX(REPORT!$A$4:$BZ$100,MATCH($A7,REPORT!$A$4:$A$100,0),MATCH(V$1,REPORT!$A$4:$BZ$4,0)),"")</f>
        <v>0.25</v>
      </c>
      <c r="W7">
        <f>IFERROR(INDEX(REPORT!$A$4:$BZ$100,MATCH($A7,REPORT!$A$4:$A$100,0),MATCH(W$1,REPORT!$A$4:$BZ$4,0)),"")</f>
        <v>1</v>
      </c>
      <c r="X7">
        <f>IFERROR(INDEX(REPORT!$A$4:$BZ$100,MATCH($A7,REPORT!$A$4:$A$100,0),MATCH(X$1,REPORT!$A$4:$BZ$4,0)),"")</f>
        <v>0</v>
      </c>
      <c r="Y7">
        <f>IFERROR(INDEX(REPORT!$A$4:$BZ$100,MATCH($A7,REPORT!$A$4:$A$100,0),MATCH(Y$1,REPORT!$A$4:$BZ$4,0)),"")</f>
        <v>0</v>
      </c>
      <c r="Z7">
        <f>IFERROR(INDEX(REPORT!$A$4:$BZ$100,MATCH($A7,REPORT!$A$4:$A$100,0),MATCH(Z$1,REPORT!$A$4:$BZ$4,0)),"")</f>
        <v>0</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0.16666666666666666</v>
      </c>
      <c r="AE7">
        <f>IFERROR(INDEX(REPORT!$A$4:$BZ$100,MATCH($A7,REPORT!$A$4:$A$100,0),MATCH(AE$1,REPORT!$A$4:$BZ$4,0)),"")</f>
        <v>5.2430555555555555E-3</v>
      </c>
      <c r="AF7">
        <f>IFERROR(INDEX(REPORT!$A$4:$BZ$100,MATCH($A7,REPORT!$A$4:$A$100,0),MATCH(AF$1,REPORT!$A$4:$BZ$4,0)),"")</f>
        <v>4</v>
      </c>
      <c r="AG7">
        <f>IFERROR(INDEX(REPORT!$A$4:$BZ$100,MATCH($A7,REPORT!$A$4:$A$100,0),MATCH(AG$1,REPORT!$A$4:$BZ$4,0)),"")</f>
        <v>1</v>
      </c>
      <c r="AH7">
        <f>IFERROR(INDEX(REPORT!$A$4:$BZ$100,MATCH($A7,REPORT!$A$4:$A$100,0),MATCH(AH$1,REPORT!$A$4:$BZ$4,0)),"")</f>
        <v>1</v>
      </c>
      <c r="AI7">
        <f>IFERROR(INDEX(REPORT!$A$4:$BZ$100,MATCH($A7,REPORT!$A$4:$A$100,0),MATCH(AI$1,REPORT!$A$4:$BZ$4,0)),"")</f>
        <v>1</v>
      </c>
      <c r="AJ7">
        <f>IFERROR(INDEX(REPORT!$A$4:$BZ$100,MATCH($A7,REPORT!$A$4:$A$100,0),MATCH(AJ$1,REPORT!$A$4:$BZ$4,0)),"")</f>
        <v>0</v>
      </c>
      <c r="AK7">
        <f>IFERROR(INDEX(REPORT!$A$4:$BZ$100,MATCH($A7,REPORT!$A$4:$A$100,0),MATCH(AK$1,REPORT!$A$4:$BZ$4,0)),"")</f>
        <v>6.603009259259259E-3</v>
      </c>
    </row>
    <row r="8" spans="1:37" x14ac:dyDescent="0.2">
      <c r="A8" t="str">
        <f>IF(LEN(REPORT!A11)&gt;2,REPORT!A11,"")</f>
        <v>BANK AUSTRALIA</v>
      </c>
      <c r="B8">
        <f>IFERROR(INDEX(REPORT!$A$2:$BZ$100,MATCH($A8,REPORT!$A$2:$A$100,0),MATCH(B$1,REPORT!$A$2:$BZ$2,0)),"")</f>
        <v>0.513797619047619</v>
      </c>
      <c r="C8">
        <f>IFERROR(INDEX(REPORT!$A$2:$BZ$100,MATCH($A8,REPORT!$A$2:$A$100,0),MATCH(C$1,REPORT!$A$2:$BZ$2,0)),"")</f>
        <v>0.51083333333333325</v>
      </c>
      <c r="D8">
        <f>IFERROR(INDEX(REPORT!$A$4:$BZ$100,MATCH($A8,REPORT!$A$4:$A$100,0),MATCH(D$1,REPORT!$A$4:$BZ$4,0)),"")</f>
        <v>0.2</v>
      </c>
      <c r="E8">
        <f>IFERROR(INDEX(REPORT!$A$4:$BZ$100,MATCH($A8,REPORT!$A$4:$A$100,0),MATCH(E$1,REPORT!$A$4:$BZ$4,0)),"")</f>
        <v>0.6</v>
      </c>
      <c r="F8">
        <f>IFERROR(INDEX(REPORT!$A$4:$BZ$100,MATCH($A8,REPORT!$A$4:$A$100,0),MATCH(F$1,REPORT!$A$4:$BZ$4,0)),"")</f>
        <v>0.2</v>
      </c>
      <c r="G8">
        <f>IFERROR(INDEX(REPORT!$A$4:$BZ$100,MATCH($A8,REPORT!$A$4:$A$100,0),MATCH(G$1,REPORT!$A$4:$BZ$4,0)),"")</f>
        <v>0</v>
      </c>
      <c r="H8">
        <f>IFERROR(INDEX(REPORT!$A$4:$BZ$100,MATCH($A8,REPORT!$A$4:$A$100,0),MATCH(H$1,REPORT!$A$4:$BZ$4,0)),"")</f>
        <v>0</v>
      </c>
      <c r="I8">
        <f>IFERROR(INDEX(REPORT!$A$4:$BZ$100,MATCH($A8,REPORT!$A$4:$A$100,0),MATCH(I$1,REPORT!$A$4:$BZ$4,0)),"")</f>
        <v>0.46666666666666662</v>
      </c>
      <c r="J8">
        <f>IFERROR(INDEX(REPORT!$A$4:$BZ$100,MATCH($A8,REPORT!$A$4:$A$100,0),MATCH(J$1,REPORT!$A$4:$BZ$4,0)),"")</f>
        <v>0</v>
      </c>
      <c r="K8">
        <f>IFERROR(INDEX(REPORT!$A$4:$BZ$100,MATCH($A8,REPORT!$A$4:$A$100,0),MATCH(K$1,REPORT!$A$4:$BZ$4,0)),"")</f>
        <v>1</v>
      </c>
      <c r="L8">
        <f>IFERROR(INDEX(REPORT!$A$4:$BZ$100,MATCH($A8,REPORT!$A$4:$A$100,0),MATCH(L$1,REPORT!$A$4:$BZ$4,0)),"")</f>
        <v>0.4</v>
      </c>
      <c r="M8">
        <f>IFERROR(INDEX(REPORT!$A$4:$BZ$100,MATCH($A8,REPORT!$A$4:$A$100,0),MATCH(M$1,REPORT!$A$4:$BZ$4,0)),"")</f>
        <v>0.55000000000000004</v>
      </c>
      <c r="N8">
        <f>IFERROR(INDEX(REPORT!$A$4:$BZ$100,MATCH($A8,REPORT!$A$4:$A$100,0),MATCH(N$1,REPORT!$A$4:$BZ$4,0)),"")</f>
        <v>0.6</v>
      </c>
      <c r="O8">
        <f>IFERROR(INDEX(REPORT!$A$4:$BZ$100,MATCH($A8,REPORT!$A$4:$A$100,0),MATCH(O$1,REPORT!$A$4:$BZ$4,0)),"")</f>
        <v>0.2</v>
      </c>
      <c r="P8">
        <f>IFERROR(INDEX(REPORT!$A$4:$BZ$100,MATCH($A8,REPORT!$A$4:$A$100,0),MATCH(P$1,REPORT!$A$4:$BZ$4,0)),"")</f>
        <v>0.6</v>
      </c>
      <c r="Q8">
        <f>IFERROR(INDEX(REPORT!$A$4:$BZ$100,MATCH($A8,REPORT!$A$4:$A$100,0),MATCH(Q$1,REPORT!$A$4:$BZ$4,0)),"")</f>
        <v>0.8</v>
      </c>
      <c r="R8">
        <f>IFERROR(INDEX(REPORT!$A$4:$BZ$100,MATCH($A8,REPORT!$A$4:$A$100,0),MATCH(R$1,REPORT!$A$4:$BZ$4,0)),"")</f>
        <v>0.66666666666666663</v>
      </c>
      <c r="S8">
        <f>IFERROR(INDEX(REPORT!$A$4:$BZ$100,MATCH($A8,REPORT!$A$4:$A$100,0),MATCH(S$1,REPORT!$A$4:$BZ$4,0)),"")</f>
        <v>0.8</v>
      </c>
      <c r="T8">
        <f>IFERROR(INDEX(REPORT!$A$4:$BZ$100,MATCH($A8,REPORT!$A$4:$A$100,0),MATCH(T$1,REPORT!$A$4:$BZ$4,0)),"")</f>
        <v>0.2</v>
      </c>
      <c r="U8">
        <f>IFERROR(INDEX(REPORT!$A$4:$BZ$100,MATCH($A8,REPORT!$A$4:$A$100,0),MATCH(U$1,REPORT!$A$4:$BZ$4,0)),"")</f>
        <v>1</v>
      </c>
      <c r="V8">
        <f>IFERROR(INDEX(REPORT!$A$4:$BZ$100,MATCH($A8,REPORT!$A$4:$A$100,0),MATCH(V$1,REPORT!$A$4:$BZ$4,0)),"")</f>
        <v>0.7</v>
      </c>
      <c r="W8">
        <f>IFERROR(INDEX(REPORT!$A$4:$BZ$100,MATCH($A8,REPORT!$A$4:$A$100,0),MATCH(W$1,REPORT!$A$4:$BZ$4,0)),"")</f>
        <v>1</v>
      </c>
      <c r="X8">
        <f>IFERROR(INDEX(REPORT!$A$4:$BZ$100,MATCH($A8,REPORT!$A$4:$A$100,0),MATCH(X$1,REPORT!$A$4:$BZ$4,0)),"")</f>
        <v>0.6</v>
      </c>
      <c r="Y8">
        <f>IFERROR(INDEX(REPORT!$A$4:$BZ$100,MATCH($A8,REPORT!$A$4:$A$100,0),MATCH(Y$1,REPORT!$A$4:$BZ$4,0)),"")</f>
        <v>0.4</v>
      </c>
      <c r="Z8">
        <f>IFERROR(INDEX(REPORT!$A$4:$BZ$100,MATCH($A8,REPORT!$A$4:$A$100,0),MATCH(Z$1,REPORT!$A$4:$BZ$4,0)),"")</f>
        <v>0.8</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3.8124999999999999E-3</v>
      </c>
      <c r="AF8">
        <f>IFERROR(INDEX(REPORT!$A$4:$BZ$100,MATCH($A8,REPORT!$A$4:$A$100,0),MATCH(AF$1,REPORT!$A$4:$BZ$4,0)),"")</f>
        <v>4.5999999999999996</v>
      </c>
      <c r="AG8">
        <f>IFERROR(INDEX(REPORT!$A$4:$BZ$100,MATCH($A8,REPORT!$A$4:$A$100,0),MATCH(AG$1,REPORT!$A$4:$BZ$4,0)),"")</f>
        <v>0.8</v>
      </c>
      <c r="AH8">
        <f>IFERROR(INDEX(REPORT!$A$4:$BZ$100,MATCH($A8,REPORT!$A$4:$A$100,0),MATCH(AH$1,REPORT!$A$4:$BZ$4,0)),"")</f>
        <v>0.8</v>
      </c>
      <c r="AI8">
        <f>IFERROR(INDEX(REPORT!$A$4:$BZ$100,MATCH($A8,REPORT!$A$4:$A$100,0),MATCH(AI$1,REPORT!$A$4:$BZ$4,0)),"")</f>
        <v>1</v>
      </c>
      <c r="AJ8">
        <f>IFERROR(INDEX(REPORT!$A$4:$BZ$100,MATCH($A8,REPORT!$A$4:$A$100,0),MATCH(AJ$1,REPORT!$A$4:$BZ$4,0)),"")</f>
        <v>0.8</v>
      </c>
      <c r="AK8">
        <f>IFERROR(INDEX(REPORT!$A$4:$BZ$100,MATCH($A8,REPORT!$A$4:$A$100,0),MATCH(AK$1,REPORT!$A$4:$BZ$4,0)),"")</f>
        <v>8.1087962962962962E-3</v>
      </c>
    </row>
    <row r="9" spans="1:37" x14ac:dyDescent="0.2">
      <c r="A9" t="str">
        <f>IF(LEN(REPORT!A12)&gt;2,REPORT!A12,"")</f>
        <v>GREAT SOUTHERN BANK</v>
      </c>
      <c r="B9">
        <f>IFERROR(INDEX(REPORT!$A$2:$BZ$100,MATCH($A9,REPORT!$A$2:$A$100,0),MATCH(B$1,REPORT!$A$2:$BZ$2,0)),"")</f>
        <v>0.37867559523809524</v>
      </c>
      <c r="C9">
        <f>IFERROR(INDEX(REPORT!$A$2:$BZ$100,MATCH($A9,REPORT!$A$2:$A$100,0),MATCH(C$1,REPORT!$A$2:$BZ$2,0)),"")</f>
        <v>0.47083333333333333</v>
      </c>
      <c r="D9">
        <f>IFERROR(INDEX(REPORT!$A$4:$BZ$100,MATCH($A9,REPORT!$A$4:$A$100,0),MATCH(D$1,REPORT!$A$4:$BZ$4,0)),"")</f>
        <v>0.375</v>
      </c>
      <c r="E9">
        <f>IFERROR(INDEX(REPORT!$A$4:$BZ$100,MATCH($A9,REPORT!$A$4:$A$100,0),MATCH(E$1,REPORT!$A$4:$BZ$4,0)),"")</f>
        <v>1</v>
      </c>
      <c r="F9">
        <f>IFERROR(INDEX(REPORT!$A$4:$BZ$100,MATCH($A9,REPORT!$A$4:$A$100,0),MATCH(F$1,REPORT!$A$4:$BZ$4,0)),"")</f>
        <v>0</v>
      </c>
      <c r="G9">
        <f>IFERROR(INDEX(REPORT!$A$4:$BZ$100,MATCH($A9,REPORT!$A$4:$A$100,0),MATCH(G$1,REPORT!$A$4:$BZ$4,0)),"")</f>
        <v>0.5</v>
      </c>
      <c r="H9">
        <f>IFERROR(INDEX(REPORT!$A$4:$BZ$100,MATCH($A9,REPORT!$A$4:$A$100,0),MATCH(H$1,REPORT!$A$4:$BZ$4,0)),"")</f>
        <v>0</v>
      </c>
      <c r="I9">
        <f>IFERROR(INDEX(REPORT!$A$4:$BZ$100,MATCH($A9,REPORT!$A$4:$A$100,0),MATCH(I$1,REPORT!$A$4:$BZ$4,0)),"")</f>
        <v>0.41666666666666669</v>
      </c>
      <c r="J9">
        <f>IFERROR(INDEX(REPORT!$A$4:$BZ$100,MATCH($A9,REPORT!$A$4:$A$100,0),MATCH(J$1,REPORT!$A$4:$BZ$4,0)),"")</f>
        <v>0</v>
      </c>
      <c r="K9">
        <f>IFERROR(INDEX(REPORT!$A$4:$BZ$100,MATCH($A9,REPORT!$A$4:$A$100,0),MATCH(K$1,REPORT!$A$4:$BZ$4,0)),"")</f>
        <v>1</v>
      </c>
      <c r="L9">
        <f>IFERROR(INDEX(REPORT!$A$4:$BZ$100,MATCH($A9,REPORT!$A$4:$A$100,0),MATCH(L$1,REPORT!$A$4:$BZ$4,0)),"")</f>
        <v>0.25</v>
      </c>
      <c r="M9">
        <f>IFERROR(INDEX(REPORT!$A$4:$BZ$100,MATCH($A9,REPORT!$A$4:$A$100,0),MATCH(M$1,REPORT!$A$4:$BZ$4,0)),"")</f>
        <v>0.5</v>
      </c>
      <c r="N9">
        <f>IFERROR(INDEX(REPORT!$A$4:$BZ$100,MATCH($A9,REPORT!$A$4:$A$100,0),MATCH(N$1,REPORT!$A$4:$BZ$4,0)),"")</f>
        <v>0.25</v>
      </c>
      <c r="O9">
        <f>IFERROR(INDEX(REPORT!$A$4:$BZ$100,MATCH($A9,REPORT!$A$4:$A$100,0),MATCH(O$1,REPORT!$A$4:$BZ$4,0)),"")</f>
        <v>0.25</v>
      </c>
      <c r="P9">
        <f>IFERROR(INDEX(REPORT!$A$4:$BZ$100,MATCH($A9,REPORT!$A$4:$A$100,0),MATCH(P$1,REPORT!$A$4:$BZ$4,0)),"")</f>
        <v>0.5</v>
      </c>
      <c r="Q9">
        <f>IFERROR(INDEX(REPORT!$A$4:$BZ$100,MATCH($A9,REPORT!$A$4:$A$100,0),MATCH(Q$1,REPORT!$A$4:$BZ$4,0)),"")</f>
        <v>1</v>
      </c>
      <c r="R9">
        <f>IFERROR(INDEX(REPORT!$A$4:$BZ$100,MATCH($A9,REPORT!$A$4:$A$100,0),MATCH(R$1,REPORT!$A$4:$BZ$4,0)),"")</f>
        <v>0.58333333333333337</v>
      </c>
      <c r="S9">
        <f>IFERROR(INDEX(REPORT!$A$4:$BZ$100,MATCH($A9,REPORT!$A$4:$A$100,0),MATCH(S$1,REPORT!$A$4:$BZ$4,0)),"")</f>
        <v>0.75</v>
      </c>
      <c r="T9">
        <f>IFERROR(INDEX(REPORT!$A$4:$BZ$100,MATCH($A9,REPORT!$A$4:$A$100,0),MATCH(T$1,REPORT!$A$4:$BZ$4,0)),"")</f>
        <v>0.25</v>
      </c>
      <c r="U9">
        <f>IFERROR(INDEX(REPORT!$A$4:$BZ$100,MATCH($A9,REPORT!$A$4:$A$100,0),MATCH(U$1,REPORT!$A$4:$BZ$4,0)),"")</f>
        <v>0.75</v>
      </c>
      <c r="V9">
        <f>IFERROR(INDEX(REPORT!$A$4:$BZ$100,MATCH($A9,REPORT!$A$4:$A$100,0),MATCH(V$1,REPORT!$A$4:$BZ$4,0)),"")</f>
        <v>0.5</v>
      </c>
      <c r="W9">
        <f>IFERROR(INDEX(REPORT!$A$4:$BZ$100,MATCH($A9,REPORT!$A$4:$A$100,0),MATCH(W$1,REPORT!$A$4:$BZ$4,0)),"")</f>
        <v>1</v>
      </c>
      <c r="X9">
        <f>IFERROR(INDEX(REPORT!$A$4:$BZ$100,MATCH($A9,REPORT!$A$4:$A$100,0),MATCH(X$1,REPORT!$A$4:$BZ$4,0)),"")</f>
        <v>0.5</v>
      </c>
      <c r="Y9">
        <f>IFERROR(INDEX(REPORT!$A$4:$BZ$100,MATCH($A9,REPORT!$A$4:$A$100,0),MATCH(Y$1,REPORT!$A$4:$BZ$4,0)),"")</f>
        <v>0.25</v>
      </c>
      <c r="Z9">
        <f>IFERROR(INDEX(REPORT!$A$4:$BZ$100,MATCH($A9,REPORT!$A$4:$A$100,0),MATCH(Z$1,REPORT!$A$4:$BZ$4,0)),"")</f>
        <v>0.25</v>
      </c>
      <c r="AA9">
        <f>IFERROR(INDEX(REPORT!$A$4:$BZ$100,MATCH($A9,REPORT!$A$4:$A$100,0),MATCH(AA$1,REPORT!$A$4:$BZ$4,0)),"")</f>
        <v>0</v>
      </c>
      <c r="AB9">
        <f>IFERROR(INDEX(REPORT!$A$4:$BZ$100,MATCH($A9,REPORT!$A$4:$A$100,0),MATCH(AB$1,REPORT!$A$4:$BZ$4,0)),"")</f>
        <v>0</v>
      </c>
      <c r="AC9">
        <f>IFERROR(INDEX(REPORT!$A$4:$BZ$100,MATCH($A9,REPORT!$A$4:$A$100,0),MATCH(AC$1,REPORT!$A$4:$BZ$4,0)),"")</f>
        <v>0</v>
      </c>
      <c r="AD9">
        <f>IFERROR(INDEX(REPORT!$A$4:$BZ$100,MATCH($A9,REPORT!$A$4:$A$100,0),MATCH(AD$1,REPORT!$A$4:$BZ$4,0)),"")</f>
        <v>0.66666666666666663</v>
      </c>
      <c r="AE9">
        <f>IFERROR(INDEX(REPORT!$A$4:$BZ$100,MATCH($A9,REPORT!$A$4:$A$100,0),MATCH(AE$1,REPORT!$A$4:$BZ$4,0)),"")</f>
        <v>2.9542824074074076E-3</v>
      </c>
      <c r="AF9">
        <f>IFERROR(INDEX(REPORT!$A$4:$BZ$100,MATCH($A9,REPORT!$A$4:$A$100,0),MATCH(AF$1,REPORT!$A$4:$BZ$4,0)),"")</f>
        <v>4.25</v>
      </c>
      <c r="AG9">
        <f>IFERROR(INDEX(REPORT!$A$4:$BZ$100,MATCH($A9,REPORT!$A$4:$A$100,0),MATCH(AG$1,REPORT!$A$4:$BZ$4,0)),"")</f>
        <v>0.75</v>
      </c>
      <c r="AH9">
        <f>IFERROR(INDEX(REPORT!$A$4:$BZ$100,MATCH($A9,REPORT!$A$4:$A$100,0),MATCH(AH$1,REPORT!$A$4:$BZ$4,0)),"")</f>
        <v>0.75</v>
      </c>
      <c r="AI9">
        <f>IFERROR(INDEX(REPORT!$A$4:$BZ$100,MATCH($A9,REPORT!$A$4:$A$100,0),MATCH(AI$1,REPORT!$A$4:$BZ$4,0)),"")</f>
        <v>0.5</v>
      </c>
      <c r="AJ9">
        <f>IFERROR(INDEX(REPORT!$A$4:$BZ$100,MATCH($A9,REPORT!$A$4:$A$100,0),MATCH(AJ$1,REPORT!$A$4:$BZ$4,0)),"")</f>
        <v>0.75</v>
      </c>
      <c r="AK9">
        <f>IFERROR(INDEX(REPORT!$A$4:$BZ$100,MATCH($A9,REPORT!$A$4:$A$100,0),MATCH(AK$1,REPORT!$A$4:$BZ$4,0)),"")</f>
        <v>6.9087577160493827E-3</v>
      </c>
    </row>
    <row r="10" spans="1:37" x14ac:dyDescent="0.2">
      <c r="A10" t="str">
        <f>IF(LEN(REPORT!A13)&gt;2,REPORT!A13,"")</f>
        <v>HUME BANK</v>
      </c>
      <c r="B10">
        <f>IFERROR(INDEX(REPORT!$A$2:$BZ$100,MATCH($A10,REPORT!$A$2:$A$100,0),MATCH(B$1,REPORT!$A$2:$BZ$2,0)),"")</f>
        <v>0.74802579365079369</v>
      </c>
      <c r="C10">
        <f>IFERROR(INDEX(REPORT!$A$2:$BZ$100,MATCH($A10,REPORT!$A$2:$A$100,0),MATCH(C$1,REPORT!$A$2:$BZ$2,0)),"")</f>
        <v>0.68680555555555556</v>
      </c>
      <c r="D10">
        <f>IFERROR(INDEX(REPORT!$A$4:$BZ$100,MATCH($A10,REPORT!$A$4:$A$100,0),MATCH(D$1,REPORT!$A$4:$BZ$4,0)),"")</f>
        <v>0.54166666666666674</v>
      </c>
      <c r="E10">
        <f>IFERROR(INDEX(REPORT!$A$4:$BZ$100,MATCH($A10,REPORT!$A$4:$A$100,0),MATCH(E$1,REPORT!$A$4:$BZ$4,0)),"")</f>
        <v>1</v>
      </c>
      <c r="F10">
        <f>IFERROR(INDEX(REPORT!$A$4:$BZ$100,MATCH($A10,REPORT!$A$4:$A$100,0),MATCH(F$1,REPORT!$A$4:$BZ$4,0)),"")</f>
        <v>0.16666666666666666</v>
      </c>
      <c r="G10">
        <f>IFERROR(INDEX(REPORT!$A$4:$BZ$100,MATCH($A10,REPORT!$A$4:$A$100,0),MATCH(G$1,REPORT!$A$4:$BZ$4,0)),"")</f>
        <v>1</v>
      </c>
      <c r="H10">
        <f>IFERROR(INDEX(REPORT!$A$4:$BZ$100,MATCH($A10,REPORT!$A$4:$A$100,0),MATCH(H$1,REPORT!$A$4:$BZ$4,0)),"")</f>
        <v>0</v>
      </c>
      <c r="I10">
        <f>IFERROR(INDEX(REPORT!$A$4:$BZ$100,MATCH($A10,REPORT!$A$4:$A$100,0),MATCH(I$1,REPORT!$A$4:$BZ$4,0)),"")</f>
        <v>0.44444444444444448</v>
      </c>
      <c r="J10">
        <f>IFERROR(INDEX(REPORT!$A$4:$BZ$100,MATCH($A10,REPORT!$A$4:$A$100,0),MATCH(J$1,REPORT!$A$4:$BZ$4,0)),"")</f>
        <v>0.16666666666666666</v>
      </c>
      <c r="K10">
        <f>IFERROR(INDEX(REPORT!$A$4:$BZ$100,MATCH($A10,REPORT!$A$4:$A$100,0),MATCH(K$1,REPORT!$A$4:$BZ$4,0)),"")</f>
        <v>1</v>
      </c>
      <c r="L10">
        <f>IFERROR(INDEX(REPORT!$A$4:$BZ$100,MATCH($A10,REPORT!$A$4:$A$100,0),MATCH(L$1,REPORT!$A$4:$BZ$4,0)),"")</f>
        <v>0.16666666666666666</v>
      </c>
      <c r="M10">
        <f>IFERROR(INDEX(REPORT!$A$4:$BZ$100,MATCH($A10,REPORT!$A$4:$A$100,0),MATCH(M$1,REPORT!$A$4:$BZ$4,0)),"")</f>
        <v>0.79166666666666663</v>
      </c>
      <c r="N10">
        <f>IFERROR(INDEX(REPORT!$A$4:$BZ$100,MATCH($A10,REPORT!$A$4:$A$100,0),MATCH(N$1,REPORT!$A$4:$BZ$4,0)),"")</f>
        <v>0.66666666666666663</v>
      </c>
      <c r="O10">
        <f>IFERROR(INDEX(REPORT!$A$4:$BZ$100,MATCH($A10,REPORT!$A$4:$A$100,0),MATCH(O$1,REPORT!$A$4:$BZ$4,0)),"")</f>
        <v>0.5</v>
      </c>
      <c r="P10">
        <f>IFERROR(INDEX(REPORT!$A$4:$BZ$100,MATCH($A10,REPORT!$A$4:$A$100,0),MATCH(P$1,REPORT!$A$4:$BZ$4,0)),"")</f>
        <v>1</v>
      </c>
      <c r="Q10">
        <f>IFERROR(INDEX(REPORT!$A$4:$BZ$100,MATCH($A10,REPORT!$A$4:$A$100,0),MATCH(Q$1,REPORT!$A$4:$BZ$4,0)),"")</f>
        <v>1</v>
      </c>
      <c r="R10">
        <f>IFERROR(INDEX(REPORT!$A$4:$BZ$100,MATCH($A10,REPORT!$A$4:$A$100,0),MATCH(R$1,REPORT!$A$4:$BZ$4,0)),"")</f>
        <v>0.77777777777777768</v>
      </c>
      <c r="S10">
        <f>IFERROR(INDEX(REPORT!$A$4:$BZ$100,MATCH($A10,REPORT!$A$4:$A$100,0),MATCH(S$1,REPORT!$A$4:$BZ$4,0)),"")</f>
        <v>1</v>
      </c>
      <c r="T10">
        <f>IFERROR(INDEX(REPORT!$A$4:$BZ$100,MATCH($A10,REPORT!$A$4:$A$100,0),MATCH(T$1,REPORT!$A$4:$BZ$4,0)),"")</f>
        <v>0.33333333333333331</v>
      </c>
      <c r="U10">
        <f>IFERROR(INDEX(REPORT!$A$4:$BZ$100,MATCH($A10,REPORT!$A$4:$A$100,0),MATCH(U$1,REPORT!$A$4:$BZ$4,0)),"")</f>
        <v>1</v>
      </c>
      <c r="V10">
        <f>IFERROR(INDEX(REPORT!$A$4:$BZ$100,MATCH($A10,REPORT!$A$4:$A$100,0),MATCH(V$1,REPORT!$A$4:$BZ$4,0)),"")</f>
        <v>0.875</v>
      </c>
      <c r="W10">
        <f>IFERROR(INDEX(REPORT!$A$4:$BZ$100,MATCH($A10,REPORT!$A$4:$A$100,0),MATCH(W$1,REPORT!$A$4:$BZ$4,0)),"")</f>
        <v>1</v>
      </c>
      <c r="X10">
        <f>IFERROR(INDEX(REPORT!$A$4:$BZ$100,MATCH($A10,REPORT!$A$4:$A$100,0),MATCH(X$1,REPORT!$A$4:$BZ$4,0)),"")</f>
        <v>0.66666666666666663</v>
      </c>
      <c r="Y10">
        <f>IFERROR(INDEX(REPORT!$A$4:$BZ$100,MATCH($A10,REPORT!$A$4:$A$100,0),MATCH(Y$1,REPORT!$A$4:$BZ$4,0)),"")</f>
        <v>1</v>
      </c>
      <c r="Z10">
        <f>IFERROR(INDEX(REPORT!$A$4:$BZ$100,MATCH($A10,REPORT!$A$4:$A$100,0),MATCH(Z$1,REPORT!$A$4:$BZ$4,0)),"")</f>
        <v>0.83333333333333337</v>
      </c>
      <c r="AA10">
        <f>IFERROR(INDEX(REPORT!$A$4:$BZ$100,MATCH($A10,REPORT!$A$4:$A$100,0),MATCH(AA$1,REPORT!$A$4:$BZ$4,0)),"")</f>
        <v>0</v>
      </c>
      <c r="AB10">
        <f>IFERROR(INDEX(REPORT!$A$4:$BZ$100,MATCH($A10,REPORT!$A$4:$A$100,0),MATCH(AB$1,REPORT!$A$4:$BZ$4,0)),"")</f>
        <v>0</v>
      </c>
      <c r="AC10">
        <f>IFERROR(INDEX(REPORT!$A$4:$BZ$100,MATCH($A10,REPORT!$A$4:$A$100,0),MATCH(AC$1,REPORT!$A$4:$BZ$4,0)),"")</f>
        <v>0</v>
      </c>
      <c r="AD10">
        <f>IFERROR(INDEX(REPORT!$A$4:$BZ$100,MATCH($A10,REPORT!$A$4:$A$100,0),MATCH(AD$1,REPORT!$A$4:$BZ$4,0)),"")</f>
        <v>1</v>
      </c>
      <c r="AE10">
        <f>IFERROR(INDEX(REPORT!$A$4:$BZ$100,MATCH($A10,REPORT!$A$4:$A$100,0),MATCH(AE$1,REPORT!$A$4:$BZ$4,0)),"")</f>
        <v>2.6215277777777777E-3</v>
      </c>
      <c r="AF10">
        <f>IFERROR(INDEX(REPORT!$A$4:$BZ$100,MATCH($A10,REPORT!$A$4:$A$100,0),MATCH(AF$1,REPORT!$A$4:$BZ$4,0)),"")</f>
        <v>6.333333333333333</v>
      </c>
      <c r="AG10">
        <f>IFERROR(INDEX(REPORT!$A$4:$BZ$100,MATCH($A10,REPORT!$A$4:$A$100,0),MATCH(AG$1,REPORT!$A$4:$BZ$4,0)),"")</f>
        <v>0.83333333333333337</v>
      </c>
      <c r="AH10">
        <f>IFERROR(INDEX(REPORT!$A$4:$BZ$100,MATCH($A10,REPORT!$A$4:$A$100,0),MATCH(AH$1,REPORT!$A$4:$BZ$4,0)),"")</f>
        <v>0.33333333333333331</v>
      </c>
      <c r="AI10">
        <f>IFERROR(INDEX(REPORT!$A$4:$BZ$100,MATCH($A10,REPORT!$A$4:$A$100,0),MATCH(AI$1,REPORT!$A$4:$BZ$4,0)),"")</f>
        <v>1</v>
      </c>
      <c r="AJ10">
        <f>IFERROR(INDEX(REPORT!$A$4:$BZ$100,MATCH($A10,REPORT!$A$4:$A$100,0),MATCH(AJ$1,REPORT!$A$4:$BZ$4,0)),"")</f>
        <v>0.83333333333333337</v>
      </c>
      <c r="AK10">
        <f>IFERROR(INDEX(REPORT!$A$4:$BZ$100,MATCH($A10,REPORT!$A$4:$A$100,0),MATCH(AK$1,REPORT!$A$4:$BZ$4,0)),"")</f>
        <v>3.7731481481481479E-3</v>
      </c>
    </row>
    <row r="11" spans="1:37" x14ac:dyDescent="0.2">
      <c r="A11" t="str">
        <f>IF(LEN(REPORT!A14)&gt;2,REPORT!A14,"")</f>
        <v>BANK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BANK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BANK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BANK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BANK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BANK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BANK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BANK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BANK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BANK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BANK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BANK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BANK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BANK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BANK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BANK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BANK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BANK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BANK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BANK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BANK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0.40620943562610229</v>
      </c>
      <c r="C32">
        <f>IFERROR(INDEX(REPORT!$A$2:$BZ$100,MATCH($A32,REPORT!$A$2:$A$100,0),MATCH(C$1,REPORT!$A$2:$BZ$2,0)),"")</f>
        <v>0.53016975308641978</v>
      </c>
      <c r="D32">
        <f>IFERROR(INDEX(REPORT!$A$4:$BZ$100,MATCH($A32,REPORT!$A$4:$A$100,0),MATCH(D$1,REPORT!$A$4:$BZ$4,0)),"")</f>
        <v>0.37407407407407411</v>
      </c>
      <c r="E32">
        <f>IFERROR(INDEX(REPORT!$A$4:$BZ$100,MATCH($A32,REPORT!$A$4:$A$100,0),MATCH(E$1,REPORT!$A$4:$BZ$4,0)),"")</f>
        <v>0.77037037037037037</v>
      </c>
      <c r="F32">
        <f>IFERROR(INDEX(REPORT!$A$4:$BZ$100,MATCH($A32,REPORT!$A$4:$A$100,0),MATCH(F$1,REPORT!$A$4:$BZ$4,0)),"")</f>
        <v>0.19259259259259257</v>
      </c>
      <c r="G32">
        <f>IFERROR(INDEX(REPORT!$A$4:$BZ$100,MATCH($A32,REPORT!$A$4:$A$100,0),MATCH(G$1,REPORT!$A$4:$BZ$4,0)),"")</f>
        <v>0.47777777777777775</v>
      </c>
      <c r="H32">
        <f>IFERROR(INDEX(REPORT!$A$4:$BZ$100,MATCH($A32,REPORT!$A$4:$A$100,0),MATCH(H$1,REPORT!$A$4:$BZ$4,0)),"")</f>
        <v>5.5555555555555552E-2</v>
      </c>
      <c r="I32">
        <f>IFERROR(INDEX(REPORT!$A$4:$BZ$100,MATCH($A32,REPORT!$A$4:$A$100,0),MATCH(I$1,REPORT!$A$4:$BZ$4,0)),"")</f>
        <v>0.43395061728395068</v>
      </c>
      <c r="J32">
        <f>IFERROR(INDEX(REPORT!$A$4:$BZ$100,MATCH($A32,REPORT!$A$4:$A$100,0),MATCH(J$1,REPORT!$A$4:$BZ$4,0)),"")</f>
        <v>7.407407407407407E-2</v>
      </c>
      <c r="K32">
        <f>IFERROR(INDEX(REPORT!$A$4:$BZ$100,MATCH($A32,REPORT!$A$4:$A$100,0),MATCH(K$1,REPORT!$A$4:$BZ$4,0)),"")</f>
        <v>0.98148148148148151</v>
      </c>
      <c r="L32">
        <f>IFERROR(INDEX(REPORT!$A$4:$BZ$100,MATCH($A32,REPORT!$A$4:$A$100,0),MATCH(L$1,REPORT!$A$4:$BZ$4,0)),"")</f>
        <v>0.24629629629629626</v>
      </c>
      <c r="M32">
        <f>IFERROR(INDEX(REPORT!$A$4:$BZ$100,MATCH($A32,REPORT!$A$4:$A$100,0),MATCH(M$1,REPORT!$A$4:$BZ$4,0)),"")</f>
        <v>0.6064814814814814</v>
      </c>
      <c r="N32">
        <f>IFERROR(INDEX(REPORT!$A$4:$BZ$100,MATCH($A32,REPORT!$A$4:$A$100,0),MATCH(N$1,REPORT!$A$4:$BZ$4,0)),"")</f>
        <v>0.60555555555555562</v>
      </c>
      <c r="O32">
        <f>IFERROR(INDEX(REPORT!$A$4:$BZ$100,MATCH($A32,REPORT!$A$4:$A$100,0),MATCH(O$1,REPORT!$A$4:$BZ$4,0)),"")</f>
        <v>0.22037037037037036</v>
      </c>
      <c r="P32">
        <f>IFERROR(INDEX(REPORT!$A$4:$BZ$100,MATCH($A32,REPORT!$A$4:$A$100,0),MATCH(P$1,REPORT!$A$4:$BZ$4,0)),"")</f>
        <v>0.73333333333333328</v>
      </c>
      <c r="Q32">
        <f>IFERROR(INDEX(REPORT!$A$4:$BZ$100,MATCH($A32,REPORT!$A$4:$A$100,0),MATCH(Q$1,REPORT!$A$4:$BZ$4,0)),"")</f>
        <v>0.8666666666666667</v>
      </c>
      <c r="R32">
        <f>IFERROR(INDEX(REPORT!$A$4:$BZ$100,MATCH($A32,REPORT!$A$4:$A$100,0),MATCH(R$1,REPORT!$A$4:$BZ$4,0)),"")</f>
        <v>0.65864197530864199</v>
      </c>
      <c r="S32">
        <f>IFERROR(INDEX(REPORT!$A$4:$BZ$100,MATCH($A32,REPORT!$A$4:$A$100,0),MATCH(S$1,REPORT!$A$4:$BZ$4,0)),"")</f>
        <v>0.72037037037037033</v>
      </c>
      <c r="T32">
        <f>IFERROR(INDEX(REPORT!$A$4:$BZ$100,MATCH($A32,REPORT!$A$4:$A$100,0),MATCH(T$1,REPORT!$A$4:$BZ$4,0)),"")</f>
        <v>0.33888888888888891</v>
      </c>
      <c r="U32">
        <f>IFERROR(INDEX(REPORT!$A$4:$BZ$100,MATCH($A32,REPORT!$A$4:$A$100,0),MATCH(U$1,REPORT!$A$4:$BZ$4,0)),"")</f>
        <v>0.91666666666666663</v>
      </c>
      <c r="V32">
        <f>IFERROR(INDEX(REPORT!$A$4:$BZ$100,MATCH($A32,REPORT!$A$4:$A$100,0),MATCH(V$1,REPORT!$A$4:$BZ$4,0)),"")</f>
        <v>0.59074074074074079</v>
      </c>
      <c r="W32">
        <f>IFERROR(INDEX(REPORT!$A$4:$BZ$100,MATCH($A32,REPORT!$A$4:$A$100,0),MATCH(W$1,REPORT!$A$4:$BZ$4,0)),"")</f>
        <v>1</v>
      </c>
      <c r="X32">
        <f>IFERROR(INDEX(REPORT!$A$4:$BZ$100,MATCH($A32,REPORT!$A$4:$A$100,0),MATCH(X$1,REPORT!$A$4:$BZ$4,0)),"")</f>
        <v>0.45185185185185184</v>
      </c>
      <c r="Y32">
        <f>IFERROR(INDEX(REPORT!$A$4:$BZ$100,MATCH($A32,REPORT!$A$4:$A$100,0),MATCH(Y$1,REPORT!$A$4:$BZ$4,0)),"")</f>
        <v>0.44999999999999996</v>
      </c>
      <c r="Z32">
        <f>IFERROR(INDEX(REPORT!$A$4:$BZ$100,MATCH($A32,REPORT!$A$4:$A$100,0),MATCH(Z$1,REPORT!$A$4:$BZ$4,0)),"")</f>
        <v>0.46111111111111103</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0.70370370370370372</v>
      </c>
      <c r="AE32">
        <f>IFERROR(INDEX(REPORT!$A$4:$BZ$100,MATCH($A32,REPORT!$A$4:$A$100,0),MATCH(AE$1,REPORT!$A$4:$BZ$4,0)),"")</f>
        <v>4.6209919410150901E-3</v>
      </c>
      <c r="AF32">
        <f>IFERROR(INDEX(REPORT!$A$4:$BZ$100,MATCH($A32,REPORT!$A$4:$A$100,0),MATCH(AF$1,REPORT!$A$4:$BZ$4,0)),"")</f>
        <v>4.8833333333333337</v>
      </c>
      <c r="AG32">
        <f>IFERROR(INDEX(REPORT!$A$4:$BZ$100,MATCH($A32,REPORT!$A$4:$A$100,0),MATCH(AG$1,REPORT!$A$4:$BZ$4,0)),"")</f>
        <v>0.77962962962962956</v>
      </c>
      <c r="AH32">
        <f>IFERROR(INDEX(REPORT!$A$4:$BZ$100,MATCH($A32,REPORT!$A$4:$A$100,0),MATCH(AH$1,REPORT!$A$4:$BZ$4,0)),"")</f>
        <v>0.72037037037037033</v>
      </c>
      <c r="AI32">
        <f>IFERROR(INDEX(REPORT!$A$4:$BZ$100,MATCH($A32,REPORT!$A$4:$A$100,0),MATCH(AI$1,REPORT!$A$4:$BZ$4,0)),"")</f>
        <v>0.94444444444444442</v>
      </c>
      <c r="AJ32">
        <f>IFERROR(INDEX(REPORT!$A$4:$BZ$100,MATCH($A32,REPORT!$A$4:$A$100,0),MATCH(AJ$1,REPORT!$A$4:$BZ$4,0)),"")</f>
        <v>0.63148148148148142</v>
      </c>
      <c r="AK32">
        <f>IFERROR(INDEX(REPORT!$A$4:$BZ$100,MATCH($A32,REPORT!$A$4:$A$100,0),MATCH(AK$1,REPORT!$A$4:$BZ$4,0)),"")</f>
        <v>8.4158307613168733E-3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abSelected="1" zoomScale="80" zoomScaleNormal="80" workbookViewId="0">
      <selection activeCell="H15" sqref="H15"/>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188" t="s">
        <v>82</v>
      </c>
      <c r="E1" s="188" t="s">
        <v>117</v>
      </c>
      <c r="F1" s="188" t="s">
        <v>80</v>
      </c>
      <c r="G1" s="188" t="s">
        <v>81</v>
      </c>
      <c r="H1" s="188" t="s">
        <v>110</v>
      </c>
      <c r="I1" s="188" t="s">
        <v>83</v>
      </c>
      <c r="J1" s="188" t="s">
        <v>109</v>
      </c>
      <c r="K1" s="188" t="s">
        <v>118</v>
      </c>
      <c r="L1" s="188" t="s">
        <v>119</v>
      </c>
      <c r="M1" s="188" t="s">
        <v>84</v>
      </c>
      <c r="N1" s="188" t="s">
        <v>85</v>
      </c>
      <c r="O1" s="188" t="s">
        <v>86</v>
      </c>
      <c r="P1" s="188" t="s">
        <v>87</v>
      </c>
      <c r="Q1" s="188" t="s">
        <v>88</v>
      </c>
      <c r="R1" s="188" t="s">
        <v>89</v>
      </c>
      <c r="S1" s="188" t="s">
        <v>90</v>
      </c>
      <c r="T1" s="188" t="s">
        <v>91</v>
      </c>
      <c r="U1" s="188" t="s">
        <v>92</v>
      </c>
      <c r="V1" s="188" t="s">
        <v>93</v>
      </c>
      <c r="W1" s="188" t="s">
        <v>94</v>
      </c>
      <c r="X1" s="188" t="s">
        <v>95</v>
      </c>
      <c r="Y1" s="188" t="s">
        <v>96</v>
      </c>
      <c r="Z1" s="188" t="s">
        <v>97</v>
      </c>
      <c r="AA1" s="188" t="s">
        <v>98</v>
      </c>
      <c r="AB1" s="188" t="s">
        <v>99</v>
      </c>
      <c r="AC1" s="188" t="s">
        <v>100</v>
      </c>
      <c r="AD1" s="188" t="s">
        <v>101</v>
      </c>
      <c r="AE1" s="188" t="s">
        <v>102</v>
      </c>
      <c r="AF1" s="188" t="s">
        <v>103</v>
      </c>
      <c r="AG1" s="188" t="s">
        <v>104</v>
      </c>
    </row>
    <row r="2" spans="1:37" ht="27" thickBot="1" x14ac:dyDescent="0.25">
      <c r="A2" s="189" t="str">
        <f>REPORT!A2</f>
        <v>BANKS</v>
      </c>
      <c r="B2" s="190" t="s">
        <v>59</v>
      </c>
      <c r="C2" s="35">
        <f>SUM(D2:L2)</f>
        <v>53</v>
      </c>
      <c r="D2" s="191">
        <f>COUNTA(ANZ!$D2:$I2)</f>
        <v>6</v>
      </c>
      <c r="E2" s="191">
        <f>COUNTA(BENDIGO!D2:I2)</f>
        <v>6</v>
      </c>
      <c r="F2" s="191">
        <f>COUNTA(CBA!D2:I2)</f>
        <v>6</v>
      </c>
      <c r="G2" s="191">
        <f>COUNTA(ING!D2:I2)</f>
        <v>6</v>
      </c>
      <c r="H2" s="191">
        <f>COUNTA(nab!D2:I2)</f>
        <v>6</v>
      </c>
      <c r="I2" s="191">
        <f>COUNTA(Westpac!D2:I2)</f>
        <v>6</v>
      </c>
      <c r="J2" s="191">
        <f>COUNTA(BANK_AUSTRALIA!D2:H2)</f>
        <v>5</v>
      </c>
      <c r="K2" s="191">
        <f>COUNTA(GREAT_SOUTHERN!D2:I2)</f>
        <v>6</v>
      </c>
      <c r="L2" s="191">
        <f>COUNTA(HUME!D2:I2)</f>
        <v>6</v>
      </c>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0.40620943562610229</v>
      </c>
      <c r="C3" s="194"/>
      <c r="D3" s="195">
        <f t="shared" ref="D3:I3" si="0">IF(D51="-","-",D48)</f>
        <v>0.69557341269841266</v>
      </c>
      <c r="E3" s="195">
        <f t="shared" si="0"/>
        <v>0.20050595238095242</v>
      </c>
      <c r="F3" s="195">
        <f t="shared" si="0"/>
        <v>0.488875</v>
      </c>
      <c r="G3" s="195">
        <f t="shared" si="0"/>
        <v>6.3425595238095211E-2</v>
      </c>
      <c r="H3" s="195">
        <f t="shared" si="0"/>
        <v>0.55417261904761905</v>
      </c>
      <c r="I3" s="195">
        <f t="shared" si="0"/>
        <v>1.2833333333333308E-2</v>
      </c>
      <c r="J3" s="195">
        <f>IF(J51="-","-",J48)</f>
        <v>0.513797619047619</v>
      </c>
      <c r="K3" s="195">
        <f>IF(K51="-","-",K48)</f>
        <v>0.37867559523809524</v>
      </c>
      <c r="L3" s="195">
        <f>IF(L51="-","-",L48)</f>
        <v>0.74802579365079369</v>
      </c>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0.53016975308641978</v>
      </c>
      <c r="C4" s="199" t="s">
        <v>1</v>
      </c>
      <c r="D4" s="200">
        <f>IF(D2=0, "-", IF(ANZ!$B$4="-", "-", ANZ!$B$4))</f>
        <v>0.72222222222222221</v>
      </c>
      <c r="E4" s="200">
        <f>IF(E2=0, "-", IF(BENDIGO!$B$4="-", "-", BENDIGO!$B$4))</f>
        <v>0.42291666666666672</v>
      </c>
      <c r="F4" s="200">
        <f>IF(F2=0, "-", IF(CBA!$B$4="-", "-", CBA!$B$4))</f>
        <v>0.5625</v>
      </c>
      <c r="G4" s="200">
        <f>IF(G2=0, "-", IF(ING!$B$4="-", "-", ING!$B$4))</f>
        <v>0.34791666666666665</v>
      </c>
      <c r="H4" s="200">
        <f>IF(H2=0, "-", IF(nab!$B$4="-", "-", nab!$B$4))</f>
        <v>0.6183333333333334</v>
      </c>
      <c r="I4" s="200">
        <f>IF(I2=0, "-", IF(Westpac!$B$4="-", "-", Westpac!$B$4))</f>
        <v>0.42916666666666664</v>
      </c>
      <c r="J4" s="200">
        <f>IF(J2=0, "-", IF(BANK_AUSTRALIA!$B$4="-", "-", BANK_AUSTRALIA!$B$4))</f>
        <v>0.51083333333333325</v>
      </c>
      <c r="K4" s="200">
        <f>IF(K2=0, "-", IF(GREAT_SOUTHERN!$B$4="-", "-", GREAT_SOUTHERN!$B$4))</f>
        <v>0.47083333333333333</v>
      </c>
      <c r="L4" s="200">
        <f>IF(L2=0, "-", IF(HUME!$B$4="-", "-", HUME!$B$4))</f>
        <v>0.68680555555555556</v>
      </c>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0.53016975308641978</v>
      </c>
      <c r="C5" s="203" t="s">
        <v>45</v>
      </c>
      <c r="D5" s="204">
        <f>ANZ!$B5</f>
        <v>0.72222222222222221</v>
      </c>
      <c r="E5" s="204">
        <f>BENDIGO!$B5</f>
        <v>0.42291666666666672</v>
      </c>
      <c r="F5" s="204">
        <f>CBA!$B5</f>
        <v>0.5625</v>
      </c>
      <c r="G5" s="204">
        <f>ING!$B5</f>
        <v>0.34791666666666665</v>
      </c>
      <c r="H5" s="204">
        <f>nab!$B5</f>
        <v>0.6183333333333334</v>
      </c>
      <c r="I5" s="204">
        <f>Westpac!$B5</f>
        <v>0.42916666666666664</v>
      </c>
      <c r="J5" s="204">
        <f>BANK_AUSTRALIA!$B5</f>
        <v>0.51083333333333325</v>
      </c>
      <c r="K5" s="204">
        <f>GREAT_SOUTHERN!$B5</f>
        <v>0.47083333333333333</v>
      </c>
      <c r="L5" s="204">
        <f>HUME!$B5</f>
        <v>0.68680555555555556</v>
      </c>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0.37407407407407411</v>
      </c>
      <c r="C6" s="1">
        <f>AJ24</f>
        <v>0.2</v>
      </c>
      <c r="D6" s="205">
        <f>IF(D$39=0%,"-",IF(D$2=0,"-",ANZ!$B6))</f>
        <v>0.5</v>
      </c>
      <c r="E6" s="205">
        <f>IF(E$39=0%,"-",IF(E$2=0,"-",BENDIGO!$B6))</f>
        <v>0.25</v>
      </c>
      <c r="F6" s="205">
        <f>IF(F$39=0%,"-",IF(F$2=0,"-",CBA!$B6))</f>
        <v>0.5</v>
      </c>
      <c r="G6" s="205">
        <f>IF(G$39=0%,"-",IF(G$2=0,"-",ING!$B6))</f>
        <v>0</v>
      </c>
      <c r="H6" s="205">
        <f>IF(H$39=0%,"-",IF(H$2=0,"-",nab!$B6))</f>
        <v>0.5</v>
      </c>
      <c r="I6" s="205">
        <f>IF(I$39=0%,"-",IF(I$2=0,"-",Westpac!$B6))</f>
        <v>0.5</v>
      </c>
      <c r="J6" s="205">
        <f>IF(J$39=0%,"-",IF(J$2=0,"-",BANK_AUSTRALIA!$B6))</f>
        <v>0.2</v>
      </c>
      <c r="K6" s="205">
        <f>IF(K$39=0%,"-",IF(K$2=0,"-",GREAT_SOUTHERN!$B6))</f>
        <v>0.375</v>
      </c>
      <c r="L6" s="205">
        <f>IF(L$39=0%,"-",IF(L$2=0,"-",HUME!$B6))</f>
        <v>0.54166666666666674</v>
      </c>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0.77037037037037037</v>
      </c>
      <c r="C7" s="206" t="s">
        <v>1</v>
      </c>
      <c r="D7" s="207">
        <f>IF(D$39=0%,"-",IF(D$2=0,"-",ANZ!$B7))</f>
        <v>0.83333333333333337</v>
      </c>
      <c r="E7" s="207">
        <f>IF(E$39=0%,"-",IF(E$2=0,"-",BENDIGO!$B7))</f>
        <v>1</v>
      </c>
      <c r="F7" s="207">
        <f>IF(F$39=0%,"-",IF(F$2=0,"-",CBA!$B7))</f>
        <v>0.5</v>
      </c>
      <c r="G7" s="207">
        <f>IF(G$39=0%,"-",IF(G$2=0,"-",ING!$B7))</f>
        <v>0</v>
      </c>
      <c r="H7" s="207">
        <f>IF(H$39=0%,"-",IF(H$2=0,"-",nab!$B7))</f>
        <v>1</v>
      </c>
      <c r="I7" s="207">
        <f>IF(I$39=0%,"-",IF(I$2=0,"-",Westpac!$B7))</f>
        <v>1</v>
      </c>
      <c r="J7" s="207">
        <f>IF(J$39=0%,"-",IF(J$2=0,"-",BANK_AUSTRALIA!$B7))</f>
        <v>0.6</v>
      </c>
      <c r="K7" s="207">
        <f>IF(K$39=0%,"-",IF(K$2=0,"-",GREAT_SOUTHERN!$B7))</f>
        <v>1</v>
      </c>
      <c r="L7" s="207">
        <f>IF(L$39=0%,"-",IF(L$2=0,"-",HUME!$B7))</f>
        <v>1</v>
      </c>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0.19259259259259257</v>
      </c>
      <c r="C8" s="206" t="s">
        <v>1</v>
      </c>
      <c r="D8" s="208">
        <f>IF(D$39=0%,"-",IF(D$2=0,"-",ANZ!$B8))</f>
        <v>0.5</v>
      </c>
      <c r="E8" s="208">
        <f>IF(E$39=0%,"-",IF(E$2=0,"-",BENDIGO!$B8))</f>
        <v>0</v>
      </c>
      <c r="F8" s="208">
        <f>IF(F$39=0%,"-",IF(F$2=0,"-",CBA!$B8))</f>
        <v>0.66666666666666663</v>
      </c>
      <c r="G8" s="208">
        <f>IF(G$39=0%,"-",IF(G$2=0,"-",ING!$B8))</f>
        <v>0</v>
      </c>
      <c r="H8" s="208">
        <f>IF(H$39=0%,"-",IF(H$2=0,"-",nab!$B8))</f>
        <v>0.2</v>
      </c>
      <c r="I8" s="208">
        <f>IF(I$39=0%,"-",IF(I$2=0,"-",Westpac!$B8))</f>
        <v>0</v>
      </c>
      <c r="J8" s="208">
        <f>IF(J$39=0%,"-",IF(J$2=0,"-",BANK_AUSTRALIA!$B8))</f>
        <v>0.2</v>
      </c>
      <c r="K8" s="208">
        <f>IF(K$39=0%,"-",IF(K$2=0,"-",GREAT_SOUTHERN!$B8))</f>
        <v>0</v>
      </c>
      <c r="L8" s="208">
        <f>IF(L$39=0%,"-",IF(L$2=0,"-",HUME!$B8))</f>
        <v>0.16666666666666666</v>
      </c>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0.47777777777777775</v>
      </c>
      <c r="C9" s="206" t="s">
        <v>1</v>
      </c>
      <c r="D9" s="207">
        <f>IF(D$39=0%,"-",IF(D$2=0,"-",ANZ!$B9))</f>
        <v>0.16666666666666666</v>
      </c>
      <c r="E9" s="207">
        <f>IF(E$39=0%,"-",IF(E$2=0,"-",BENDIGO!$B9))</f>
        <v>0</v>
      </c>
      <c r="F9" s="207">
        <f>IF(F$39=0%,"-",IF(F$2=0,"-",CBA!$B9))</f>
        <v>0.83333333333333337</v>
      </c>
      <c r="G9" s="207">
        <f>IF(G$39=0%,"-",IF(G$2=0,"-",ING!$B9))</f>
        <v>0</v>
      </c>
      <c r="H9" s="207">
        <f>IF(H$39=0%,"-",IF(H$2=0,"-",nab!$B9))</f>
        <v>0.8</v>
      </c>
      <c r="I9" s="207">
        <f>IF(I$39=0%,"-",IF(I$2=0,"-",Westpac!$B9))</f>
        <v>1</v>
      </c>
      <c r="J9" s="207">
        <f>IF(J$39=0%,"-",IF(J$2=0,"-",BANK_AUSTRALIA!$B9))</f>
        <v>0</v>
      </c>
      <c r="K9" s="207">
        <f>IF(K$39=0%,"-",IF(K$2=0,"-",GREAT_SOUTHERN!$B9))</f>
        <v>0.5</v>
      </c>
      <c r="L9" s="207">
        <f>IF(L$39=0%,"-",IF(L$2=0,"-",HUME!$B9))</f>
        <v>1</v>
      </c>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5.5555555555555552E-2</v>
      </c>
      <c r="C10" s="206" t="s">
        <v>1</v>
      </c>
      <c r="D10" s="208">
        <f>IF(D$39=0%,"-",IF(D$2=0,"-",ANZ!$B10))</f>
        <v>0.5</v>
      </c>
      <c r="E10" s="208">
        <f>IF(E$39=0%,"-",IF(E$2=0,"-",BENDIGO!$B10))</f>
        <v>0</v>
      </c>
      <c r="F10" s="208">
        <f>IF(F$39=0%,"-",IF(F$2=0,"-",CBA!$B10))</f>
        <v>0</v>
      </c>
      <c r="G10" s="208">
        <f>IF(G$39=0%,"-",IF(G$2=0,"-",ING!$B10))</f>
        <v>0</v>
      </c>
      <c r="H10" s="208">
        <f>IF(H$39=0%,"-",IF(H$2=0,"-",nab!$B10))</f>
        <v>0</v>
      </c>
      <c r="I10" s="208">
        <f>IF(I$39=0%,"-",IF(I$2=0,"-",Westpac!$B10))</f>
        <v>0</v>
      </c>
      <c r="J10" s="208">
        <f>IF(J$39=0%,"-",IF(J$2=0,"-",BANK_AUSTRALIA!$B10))</f>
        <v>0</v>
      </c>
      <c r="K10" s="208">
        <f>IF(K$39=0%,"-",IF(K$2=0,"-",GREAT_SOUTHERN!$B10))</f>
        <v>0</v>
      </c>
      <c r="L10" s="208">
        <f>IF(L$39=0%,"-",IF(L$2=0,"-",HUME!$B10))</f>
        <v>0</v>
      </c>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0.43395061728395068</v>
      </c>
      <c r="C12" s="1">
        <f>AJ25</f>
        <v>0.2</v>
      </c>
      <c r="D12" s="210">
        <f>IF(D$39=0%,"-",IF(D$2=0,"-",ANZ!$B12))</f>
        <v>0.77777777777777779</v>
      </c>
      <c r="E12" s="210">
        <f>IF(E$39=0%,"-",IF(E$2=0,"-",BENDIGO!$B12))</f>
        <v>0.33333333333333331</v>
      </c>
      <c r="F12" s="210">
        <f>IF(F$39=0%,"-",IF(F$2=0,"-",CBA!$B12))</f>
        <v>0.33333333333333331</v>
      </c>
      <c r="G12" s="210">
        <f>IF(G$39=0%,"-",IF(G$2=0,"-",ING!$B12))</f>
        <v>0.33333333333333331</v>
      </c>
      <c r="H12" s="210">
        <f>IF(H$39=0%,"-",IF(H$2=0,"-",nab!$B12))</f>
        <v>0.46666666666666662</v>
      </c>
      <c r="I12" s="210">
        <f>IF(I$39=0%,"-",IF(I$2=0,"-",Westpac!$B12))</f>
        <v>0.33333333333333331</v>
      </c>
      <c r="J12" s="210">
        <f>IF(J$39=0%,"-",IF(J$2=0,"-",BANK_AUSTRALIA!$B12))</f>
        <v>0.46666666666666662</v>
      </c>
      <c r="K12" s="210">
        <f>IF(K$39=0%,"-",IF(K$2=0,"-",GREAT_SOUTHERN!$B12))</f>
        <v>0.41666666666666669</v>
      </c>
      <c r="L12" s="210">
        <f>IF(L$39=0%,"-",IF(L$2=0,"-",HUME!$B12))</f>
        <v>0.44444444444444448</v>
      </c>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7.407407407407407E-2</v>
      </c>
      <c r="C13" s="206" t="s">
        <v>1</v>
      </c>
      <c r="D13" s="207">
        <f>IF(D$39=0%,"-",IF(D$2=0,"-",ANZ!$B13))</f>
        <v>0.5</v>
      </c>
      <c r="E13" s="207">
        <f>IF(E$39=0%,"-",IF(E$2=0,"-",BENDIGO!$B13))</f>
        <v>0</v>
      </c>
      <c r="F13" s="207">
        <f>IF(F$39=0%,"-",IF(F$2=0,"-",CBA!$B13))</f>
        <v>0</v>
      </c>
      <c r="G13" s="207">
        <f>IF(G$39=0%,"-",IF(G$2=0,"-",ING!$B13))</f>
        <v>0</v>
      </c>
      <c r="H13" s="207">
        <f>IF(H$39=0%,"-",IF(H$2=0,"-",nab!$B13))</f>
        <v>0</v>
      </c>
      <c r="I13" s="207">
        <f>IF(I$39=0%,"-",IF(I$2=0,"-",Westpac!$B13))</f>
        <v>0</v>
      </c>
      <c r="J13" s="207">
        <f>IF(J$39=0%,"-",IF(J$2=0,"-",BANK_AUSTRALIA!$B13))</f>
        <v>0</v>
      </c>
      <c r="K13" s="207">
        <f>IF(K$39=0%,"-",IF(K$2=0,"-",GREAT_SOUTHERN!$B13))</f>
        <v>0</v>
      </c>
      <c r="L13" s="207">
        <f>IF(L$39=0%,"-",IF(L$2=0,"-",HUME!$B13))</f>
        <v>0.16666666666666666</v>
      </c>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0.98148148148148151</v>
      </c>
      <c r="C14" s="206" t="s">
        <v>1</v>
      </c>
      <c r="D14" s="208">
        <f>IF(D$39=0%,"-",IF(D$2=0,"-",ANZ!$B14))</f>
        <v>1</v>
      </c>
      <c r="E14" s="208">
        <f>IF(E$39=0%,"-",IF(E$2=0,"-",BENDIGO!$B14))</f>
        <v>1</v>
      </c>
      <c r="F14" s="208">
        <f>IF(F$39=0%,"-",IF(F$2=0,"-",CBA!$B14))</f>
        <v>0.83333333333333337</v>
      </c>
      <c r="G14" s="208">
        <f>IF(G$39=0%,"-",IF(G$2=0,"-",ING!$B14))</f>
        <v>1</v>
      </c>
      <c r="H14" s="208">
        <f>IF(H$39=0%,"-",IF(H$2=0,"-",nab!$B14))</f>
        <v>1</v>
      </c>
      <c r="I14" s="208">
        <f>IF(I$39=0%,"-",IF(I$2=0,"-",Westpac!$B14))</f>
        <v>1</v>
      </c>
      <c r="J14" s="208">
        <f>IF(J$39=0%,"-",IF(J$2=0,"-",BANK_AUSTRALIA!$B14))</f>
        <v>1</v>
      </c>
      <c r="K14" s="208">
        <f>IF(K$39=0%,"-",IF(K$2=0,"-",GREAT_SOUTHERN!$B14))</f>
        <v>1</v>
      </c>
      <c r="L14" s="208">
        <f>IF(L$39=0%,"-",IF(L$2=0,"-",HUME!$B14))</f>
        <v>1</v>
      </c>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0.24629629629629626</v>
      </c>
      <c r="C15" s="206" t="s">
        <v>1</v>
      </c>
      <c r="D15" s="207">
        <f>IF(D$39=0%,"-",IF(D$2=0,"-",ANZ!$B15))</f>
        <v>0.83333333333333337</v>
      </c>
      <c r="E15" s="207">
        <f>IF(E$39=0%,"-",IF(E$2=0,"-",BENDIGO!$B15))</f>
        <v>0</v>
      </c>
      <c r="F15" s="207">
        <f>IF(F$39=0%,"-",IF(F$2=0,"-",CBA!$B15))</f>
        <v>0.16666666666666666</v>
      </c>
      <c r="G15" s="207">
        <f>IF(G$39=0%,"-",IF(G$2=0,"-",ING!$B15))</f>
        <v>0</v>
      </c>
      <c r="H15" s="207">
        <f>IF(H$39=0%,"-",IF(H$2=0,"-",nab!$B15))</f>
        <v>0.4</v>
      </c>
      <c r="I15" s="207">
        <f>IF(I$39=0%,"-",IF(I$2=0,"-",Westpac!$B15))</f>
        <v>0</v>
      </c>
      <c r="J15" s="207">
        <f>IF(J$39=0%,"-",IF(J$2=0,"-",BANK_AUSTRALIA!$B15))</f>
        <v>0.4</v>
      </c>
      <c r="K15" s="207">
        <f>IF(K$39=0%,"-",IF(K$2=0,"-",GREAT_SOUTHERN!$B15))</f>
        <v>0.25</v>
      </c>
      <c r="L15" s="207">
        <f>IF(L$39=0%,"-",IF(L$2=0,"-",HUME!$B15))</f>
        <v>0.16666666666666666</v>
      </c>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0.6064814814814814</v>
      </c>
      <c r="C17" s="1">
        <f>AJ26</f>
        <v>0.25</v>
      </c>
      <c r="D17" s="210">
        <f>IF(D$39=0%,"-",IF(D$2=0,"-",ANZ!$B17))</f>
        <v>0.83333333333333326</v>
      </c>
      <c r="E17" s="210">
        <f>IF(E$39=0%,"-",IF(E$2=0,"-",BENDIGO!$B17))</f>
        <v>0.625</v>
      </c>
      <c r="F17" s="210">
        <f>IF(F$39=0%,"-",IF(F$2=0,"-",CBA!$B17))</f>
        <v>0.58333333333333326</v>
      </c>
      <c r="G17" s="210">
        <f>IF(G$39=0%,"-",IF(G$2=0,"-",ING!$B17))</f>
        <v>0.625</v>
      </c>
      <c r="H17" s="210">
        <f>IF(H$39=0%,"-",IF(H$2=0,"-",nab!$B17))</f>
        <v>0.7</v>
      </c>
      <c r="I17" s="210">
        <f>IF(I$39=0%,"-",IF(I$2=0,"-",Westpac!$B17))</f>
        <v>0.25</v>
      </c>
      <c r="J17" s="210">
        <f>IF(J$39=0%,"-",IF(J$2=0,"-",BANK_AUSTRALIA!$B17))</f>
        <v>0.55000000000000004</v>
      </c>
      <c r="K17" s="210">
        <f>IF(K$39=0%,"-",IF(K$2=0,"-",GREAT_SOUTHERN!$B17))</f>
        <v>0.5</v>
      </c>
      <c r="L17" s="210">
        <f>IF(L$39=0%,"-",IF(L$2=0,"-",HUME!$B17))</f>
        <v>0.79166666666666663</v>
      </c>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0.60555555555555562</v>
      </c>
      <c r="C18" s="206" t="s">
        <v>1</v>
      </c>
      <c r="D18" s="207">
        <f>IF(D$39=0%,"-",IF(D$2=0,"-",ANZ!$B18))</f>
        <v>1</v>
      </c>
      <c r="E18" s="207">
        <f>IF(E$39=0%,"-",IF(E$2=0,"-",BENDIGO!$B18))</f>
        <v>0.5</v>
      </c>
      <c r="F18" s="207">
        <f>IF(F$39=0%,"-",IF(F$2=0,"-",CBA!$B18))</f>
        <v>0.33333333333333331</v>
      </c>
      <c r="G18" s="207">
        <f>IF(G$39=0%,"-",IF(G$2=0,"-",ING!$B18))</f>
        <v>0.5</v>
      </c>
      <c r="H18" s="207">
        <f>IF(H$39=0%,"-",IF(H$2=0,"-",nab!$B18))</f>
        <v>0.6</v>
      </c>
      <c r="I18" s="207">
        <f>IF(I$39=0%,"-",IF(I$2=0,"-",Westpac!$B18))</f>
        <v>1</v>
      </c>
      <c r="J18" s="207">
        <f>IF(J$39=0%,"-",IF(J$2=0,"-",BANK_AUSTRALIA!$B18))</f>
        <v>0.6</v>
      </c>
      <c r="K18" s="207">
        <f>IF(K$39=0%,"-",IF(K$2=0,"-",GREAT_SOUTHERN!$B18))</f>
        <v>0.25</v>
      </c>
      <c r="L18" s="207">
        <f>IF(L$39=0%,"-",IF(L$2=0,"-",HUME!$B18))</f>
        <v>0.66666666666666663</v>
      </c>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0.22037037037037036</v>
      </c>
      <c r="C19" s="206" t="s">
        <v>1</v>
      </c>
      <c r="D19" s="208">
        <f>IF(D$39=0%,"-",IF(D$2=0,"-",ANZ!$B19))</f>
        <v>0.33333333333333331</v>
      </c>
      <c r="E19" s="208">
        <f>IF(E$39=0%,"-",IF(E$2=0,"-",BENDIGO!$B19))</f>
        <v>0.5</v>
      </c>
      <c r="F19" s="208">
        <f>IF(F$39=0%,"-",IF(F$2=0,"-",CBA!$B19))</f>
        <v>0</v>
      </c>
      <c r="G19" s="208">
        <f>IF(G$39=0%,"-",IF(G$2=0,"-",ING!$B19))</f>
        <v>0</v>
      </c>
      <c r="H19" s="208">
        <f>IF(H$39=0%,"-",IF(H$2=0,"-",nab!$B19))</f>
        <v>0.2</v>
      </c>
      <c r="I19" s="208">
        <f>IF(I$39=0%,"-",IF(I$2=0,"-",Westpac!$B19))</f>
        <v>0</v>
      </c>
      <c r="J19" s="208">
        <f>IF(J$39=0%,"-",IF(J$2=0,"-",BANK_AUSTRALIA!$B19))</f>
        <v>0.2</v>
      </c>
      <c r="K19" s="208">
        <f>IF(K$39=0%,"-",IF(K$2=0,"-",GREAT_SOUTHERN!$B19))</f>
        <v>0.25</v>
      </c>
      <c r="L19" s="208">
        <f>IF(L$39=0%,"-",IF(L$2=0,"-",HUME!$B19))</f>
        <v>0.5</v>
      </c>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0.73333333333333328</v>
      </c>
      <c r="C20" s="206" t="s">
        <v>1</v>
      </c>
      <c r="D20" s="207">
        <f>IF(D$39=0%,"-",IF(D$2=0,"-",ANZ!$B20))</f>
        <v>1</v>
      </c>
      <c r="E20" s="207">
        <f>IF(E$39=0%,"-",IF(E$2=0,"-",BENDIGO!$B20))</f>
        <v>0.5</v>
      </c>
      <c r="F20" s="207">
        <f>IF(F$39=0%,"-",IF(F$2=0,"-",CBA!$B20))</f>
        <v>1</v>
      </c>
      <c r="G20" s="207">
        <f>IF(G$39=0%,"-",IF(G$2=0,"-",ING!$B20))</f>
        <v>1</v>
      </c>
      <c r="H20" s="207">
        <f>IF(H$39=0%,"-",IF(H$2=0,"-",nab!$B20))</f>
        <v>1</v>
      </c>
      <c r="I20" s="207">
        <f>IF(I$39=0%,"-",IF(I$2=0,"-",Westpac!$B20))</f>
        <v>0</v>
      </c>
      <c r="J20" s="207">
        <f>IF(J$39=0%,"-",IF(J$2=0,"-",BANK_AUSTRALIA!$B20))</f>
        <v>0.6</v>
      </c>
      <c r="K20" s="207">
        <f>IF(K$39=0%,"-",IF(K$2=0,"-",GREAT_SOUTHERN!$B20))</f>
        <v>0.5</v>
      </c>
      <c r="L20" s="207">
        <f>IF(L$39=0%,"-",IF(L$2=0,"-",HUME!$B20))</f>
        <v>1</v>
      </c>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0.8666666666666667</v>
      </c>
      <c r="C21" s="206" t="s">
        <v>1</v>
      </c>
      <c r="D21" s="208">
        <f>IF(D$39=0%,"-",IF(D$2=0,"-",ANZ!$B21))</f>
        <v>1</v>
      </c>
      <c r="E21" s="208">
        <f>IF(E$39=0%,"-",IF(E$2=0,"-",BENDIGO!$B21))</f>
        <v>1</v>
      </c>
      <c r="F21" s="208">
        <f>IF(F$39=0%,"-",IF(F$2=0,"-",CBA!$B21))</f>
        <v>1</v>
      </c>
      <c r="G21" s="208">
        <f>IF(G$39=0%,"-",IF(G$2=0,"-",ING!$B21))</f>
        <v>1</v>
      </c>
      <c r="H21" s="208">
        <f>IF(H$39=0%,"-",IF(H$2=0,"-",nab!$B21))</f>
        <v>1</v>
      </c>
      <c r="I21" s="208">
        <f>IF(I$39=0%,"-",IF(I$2=0,"-",Westpac!$B21))</f>
        <v>0</v>
      </c>
      <c r="J21" s="208">
        <f>IF(J$39=0%,"-",IF(J$2=0,"-",BANK_AUSTRALIA!$B21))</f>
        <v>0.8</v>
      </c>
      <c r="K21" s="208">
        <f>IF(K$39=0%,"-",IF(K$2=0,"-",GREAT_SOUTHERN!$B21))</f>
        <v>1</v>
      </c>
      <c r="L21" s="208">
        <f>IF(L$39=0%,"-",IF(L$2=0,"-",HUME!$B21))</f>
        <v>1</v>
      </c>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0.65864197530864199</v>
      </c>
      <c r="C23" s="1">
        <f>AJ27</f>
        <v>0.15</v>
      </c>
      <c r="D23" s="210">
        <f>IF(D$39=0%,"-",IF(D$2=0,"-",ANZ!$B23))</f>
        <v>0.72222222222222232</v>
      </c>
      <c r="E23" s="210">
        <f>IF(E$39=0%,"-",IF(E$2=0,"-",BENDIGO!$B23))</f>
        <v>0.5</v>
      </c>
      <c r="F23" s="210">
        <f>IF(F$39=0%,"-",IF(F$2=0,"-",CBA!$B23))</f>
        <v>0.61111111111111105</v>
      </c>
      <c r="G23" s="210">
        <f>IF(G$39=0%,"-",IF(G$2=0,"-",ING!$B23))</f>
        <v>0.33333333333333331</v>
      </c>
      <c r="H23" s="210">
        <f>IF(H$39=0%,"-",IF(H$2=0,"-",nab!$B23))</f>
        <v>0.73333333333333339</v>
      </c>
      <c r="I23" s="210">
        <f>IF(I$39=0%,"-",IF(I$2=0,"-",Westpac!$B23))</f>
        <v>1</v>
      </c>
      <c r="J23" s="210">
        <f>IF(J$39=0%,"-",IF(J$2=0,"-",BANK_AUSTRALIA!$B23))</f>
        <v>0.66666666666666663</v>
      </c>
      <c r="K23" s="210">
        <f>IF(K$39=0%,"-",IF(K$2=0,"-",GREAT_SOUTHERN!$B23))</f>
        <v>0.58333333333333337</v>
      </c>
      <c r="L23" s="210">
        <f>IF(L$39=0%,"-",IF(L$2=0,"-",HUME!$B23))</f>
        <v>0.77777777777777768</v>
      </c>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0.72037037037037033</v>
      </c>
      <c r="C24" s="206" t="s">
        <v>1</v>
      </c>
      <c r="D24" s="207">
        <f>IF(D$39=0%,"-",IF(D$2=0,"-",ANZ!$B24))</f>
        <v>0.83333333333333337</v>
      </c>
      <c r="E24" s="207">
        <f>IF(E$39=0%,"-",IF(E$2=0,"-",BENDIGO!$B24))</f>
        <v>0.5</v>
      </c>
      <c r="F24" s="207">
        <f>IF(F$39=0%,"-",IF(F$2=0,"-",CBA!$B24))</f>
        <v>0.5</v>
      </c>
      <c r="G24" s="207">
        <f>IF(G$39=0%,"-",IF(G$2=0,"-",ING!$B24))</f>
        <v>0.5</v>
      </c>
      <c r="H24" s="207">
        <f>IF(H$39=0%,"-",IF(H$2=0,"-",nab!$B24))</f>
        <v>0.6</v>
      </c>
      <c r="I24" s="207">
        <f>IF(I$39=0%,"-",IF(I$2=0,"-",Westpac!$B24))</f>
        <v>1</v>
      </c>
      <c r="J24" s="207">
        <f>IF(J$39=0%,"-",IF(J$2=0,"-",BANK_AUSTRALIA!$B24))</f>
        <v>0.8</v>
      </c>
      <c r="K24" s="207">
        <f>IF(K$39=0%,"-",IF(K$2=0,"-",GREAT_SOUTHERN!$B24))</f>
        <v>0.75</v>
      </c>
      <c r="L24" s="207">
        <f>IF(L$39=0%,"-",IF(L$2=0,"-",HUME!$B24))</f>
        <v>1</v>
      </c>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0.33888888888888891</v>
      </c>
      <c r="C25" s="206" t="s">
        <v>1</v>
      </c>
      <c r="D25" s="208">
        <f>IF(D$39=0%,"-",IF(D$2=0,"-",ANZ!$B25))</f>
        <v>0.33333333333333331</v>
      </c>
      <c r="E25" s="208">
        <f>IF(E$39=0%,"-",IF(E$2=0,"-",BENDIGO!$B25))</f>
        <v>0</v>
      </c>
      <c r="F25" s="208">
        <f>IF(F$39=0%,"-",IF(F$2=0,"-",CBA!$B25))</f>
        <v>0.33333333333333331</v>
      </c>
      <c r="G25" s="208">
        <f>IF(G$39=0%,"-",IF(G$2=0,"-",ING!$B25))</f>
        <v>0</v>
      </c>
      <c r="H25" s="208">
        <f>IF(H$39=0%,"-",IF(H$2=0,"-",nab!$B25))</f>
        <v>0.6</v>
      </c>
      <c r="I25" s="208">
        <f>IF(I$39=0%,"-",IF(I$2=0,"-",Westpac!$B25))</f>
        <v>1</v>
      </c>
      <c r="J25" s="208">
        <f>IF(J$39=0%,"-",IF(J$2=0,"-",BANK_AUSTRALIA!$B25))</f>
        <v>0.2</v>
      </c>
      <c r="K25" s="208">
        <f>IF(K$39=0%,"-",IF(K$2=0,"-",GREAT_SOUTHERN!$B25))</f>
        <v>0.25</v>
      </c>
      <c r="L25" s="208">
        <f>IF(L$39=0%,"-",IF(L$2=0,"-",HUME!$B25))</f>
        <v>0.33333333333333331</v>
      </c>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0.91666666666666663</v>
      </c>
      <c r="C26" s="206" t="s">
        <v>1</v>
      </c>
      <c r="D26" s="207">
        <f>IF(D$39=0%,"-",IF(D$2=0,"-",ANZ!$B26))</f>
        <v>1</v>
      </c>
      <c r="E26" s="207">
        <f>IF(E$39=0%,"-",IF(E$2=0,"-",BENDIGO!$B26))</f>
        <v>1</v>
      </c>
      <c r="F26" s="207">
        <f>IF(F$39=0%,"-",IF(F$2=0,"-",CBA!$B26))</f>
        <v>1</v>
      </c>
      <c r="G26" s="207">
        <f>IF(G$39=0%,"-",IF(G$2=0,"-",ING!$B26))</f>
        <v>0.5</v>
      </c>
      <c r="H26" s="207">
        <f>IF(H$39=0%,"-",IF(H$2=0,"-",nab!$B26))</f>
        <v>1</v>
      </c>
      <c r="I26" s="207">
        <f>IF(I$39=0%,"-",IF(I$2=0,"-",Westpac!$B26))</f>
        <v>1</v>
      </c>
      <c r="J26" s="207">
        <f>IF(J$39=0%,"-",IF(J$2=0,"-",BANK_AUSTRALIA!$B26))</f>
        <v>1</v>
      </c>
      <c r="K26" s="207">
        <f>IF(K$39=0%,"-",IF(K$2=0,"-",GREAT_SOUTHERN!$B26))</f>
        <v>0.75</v>
      </c>
      <c r="L26" s="207">
        <f>IF(L$39=0%,"-",IF(L$2=0,"-",HUME!$B26))</f>
        <v>1</v>
      </c>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120</v>
      </c>
      <c r="B28" s="37">
        <f>IF($C$2=0,"-",AVERAGE(D28:L28))</f>
        <v>0.59074074074074079</v>
      </c>
      <c r="C28" s="1">
        <f>AJ28</f>
        <v>0.2</v>
      </c>
      <c r="D28" s="210">
        <f>IF(D$39=0%,"-",IF(D$2=0,"-",ANZ!$B28))</f>
        <v>0.75</v>
      </c>
      <c r="E28" s="210">
        <f>IF(E$39=0%,"-",IF(E$2=0,"-",BENDIGO!$B28))</f>
        <v>0.375</v>
      </c>
      <c r="F28" s="210">
        <f>IF(F$39=0%,"-",IF(F$2=0,"-",CBA!$B28))</f>
        <v>0.79166666666666674</v>
      </c>
      <c r="G28" s="210">
        <f>IF(G$39=0%,"-",IF(G$2=0,"-",ING!$B28))</f>
        <v>0.375</v>
      </c>
      <c r="H28" s="210">
        <f>IF(H$39=0%,"-",IF(H$2=0,"-",nab!$B28))</f>
        <v>0.70000000000000007</v>
      </c>
      <c r="I28" s="210">
        <f>IF(I$39=0%,"-",IF(I$2=0,"-",Westpac!$B28))</f>
        <v>0.25</v>
      </c>
      <c r="J28" s="210">
        <f>IF(J$39=0%,"-",IF(J$2=0,"-",BANK_AUSTRALIA!$B28))</f>
        <v>0.7</v>
      </c>
      <c r="K28" s="210">
        <f>IF(K$39=0%,"-",IF(K$2=0,"-",GREAT_SOUTHERN!$B28))</f>
        <v>0.5</v>
      </c>
      <c r="L28" s="210">
        <f>IF(L$39=0%,"-",IF(L$2=0,"-",HUME!$B28))</f>
        <v>0.875</v>
      </c>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1</v>
      </c>
      <c r="C29" s="206" t="s">
        <v>1</v>
      </c>
      <c r="D29" s="207">
        <f>IF(D$39=0%,"-",IF(D$2=0,"-",ANZ!$B29))</f>
        <v>1</v>
      </c>
      <c r="E29" s="207">
        <f>IF(E$39=0%,"-",IF(E$2=0,"-",BENDIGO!$B29))</f>
        <v>1</v>
      </c>
      <c r="F29" s="207">
        <f>IF(F$39=0%,"-",IF(F$2=0,"-",CBA!$B29))</f>
        <v>1</v>
      </c>
      <c r="G29" s="207">
        <f>IF(G$39=0%,"-",IF(G$2=0,"-",ING!$B29))</f>
        <v>1</v>
      </c>
      <c r="H29" s="207">
        <f>IF(H$39=0%,"-",IF(H$2=0,"-",nab!$B29))</f>
        <v>1</v>
      </c>
      <c r="I29" s="207">
        <f>IF(I$39=0%,"-",IF(I$2=0,"-",Westpac!$B29))</f>
        <v>1</v>
      </c>
      <c r="J29" s="207">
        <f>IF(J$39=0%,"-",IF(J$2=0,"-",BANK_AUSTRALIA!$B29))</f>
        <v>1</v>
      </c>
      <c r="K29" s="207">
        <f>IF(K$39=0%,"-",IF(K$2=0,"-",GREAT_SOUTHERN!$B29))</f>
        <v>1</v>
      </c>
      <c r="L29" s="207">
        <f>IF(L$39=0%,"-",IF(L$2=0,"-",HUME!$B29))</f>
        <v>1</v>
      </c>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0.45185185185185184</v>
      </c>
      <c r="C30" s="206" t="s">
        <v>1</v>
      </c>
      <c r="D30" s="208">
        <f>IF(D$39=0%,"-",IF(D$2=0,"-",ANZ!$B30))</f>
        <v>0.5</v>
      </c>
      <c r="E30" s="208">
        <f>IF(E$39=0%,"-",IF(E$2=0,"-",BENDIGO!$B30))</f>
        <v>0.5</v>
      </c>
      <c r="F30" s="208">
        <f>IF(F$39=0%,"-",IF(F$2=0,"-",CBA!$B30))</f>
        <v>0.5</v>
      </c>
      <c r="G30" s="208">
        <f>IF(G$39=0%,"-",IF(G$2=0,"-",ING!$B30))</f>
        <v>0</v>
      </c>
      <c r="H30" s="208">
        <f>IF(H$39=0%,"-",IF(H$2=0,"-",nab!$B30))</f>
        <v>0.8</v>
      </c>
      <c r="I30" s="208">
        <f>IF(I$39=0%,"-",IF(I$2=0,"-",Westpac!$B30))</f>
        <v>0</v>
      </c>
      <c r="J30" s="208">
        <f>IF(J$39=0%,"-",IF(J$2=0,"-",BANK_AUSTRALIA!$B30))</f>
        <v>0.6</v>
      </c>
      <c r="K30" s="208">
        <f>IF(K$39=0%,"-",IF(K$2=0,"-",GREAT_SOUTHERN!$B30))</f>
        <v>0.5</v>
      </c>
      <c r="L30" s="208">
        <f>IF(L$39=0%,"-",IF(L$2=0,"-",HUME!$B30))</f>
        <v>0.66666666666666663</v>
      </c>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0.44999999999999996</v>
      </c>
      <c r="C31" s="206" t="s">
        <v>1</v>
      </c>
      <c r="D31" s="207">
        <f>IF(D$39=0%,"-",IF(D$2=0,"-",ANZ!$B31))</f>
        <v>0.66666666666666663</v>
      </c>
      <c r="E31" s="207">
        <f>IF(E$39=0%,"-",IF(E$2=0,"-",BENDIGO!$B31))</f>
        <v>0</v>
      </c>
      <c r="F31" s="207">
        <f>IF(F$39=0%,"-",IF(F$2=0,"-",CBA!$B31))</f>
        <v>0.83333333333333337</v>
      </c>
      <c r="G31" s="207">
        <f>IF(G$39=0%,"-",IF(G$2=0,"-",ING!$B31))</f>
        <v>0.5</v>
      </c>
      <c r="H31" s="207">
        <f>IF(H$39=0%,"-",IF(H$2=0,"-",nab!$B31))</f>
        <v>0.4</v>
      </c>
      <c r="I31" s="207">
        <f>IF(I$39=0%,"-",IF(I$2=0,"-",Westpac!$B31))</f>
        <v>0</v>
      </c>
      <c r="J31" s="207">
        <f>IF(J$39=0%,"-",IF(J$2=0,"-",BANK_AUSTRALIA!$B31))</f>
        <v>0.4</v>
      </c>
      <c r="K31" s="207">
        <f>IF(K$39=0%,"-",IF(K$2=0,"-",GREAT_SOUTHERN!$B31))</f>
        <v>0.25</v>
      </c>
      <c r="L31" s="207">
        <f>IF(L$39=0%,"-",IF(L$2=0,"-",HUME!$B31))</f>
        <v>1</v>
      </c>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86" t="s">
        <v>121</v>
      </c>
      <c r="B32" s="3">
        <f>IF($C$2=0,"-",AVERAGE(D32:L32))</f>
        <v>0.46111111111111103</v>
      </c>
      <c r="C32" s="206" t="s">
        <v>1</v>
      </c>
      <c r="D32" s="208">
        <f>IF(D$39=0%,"-",IF(D$2=0,"-",ANZ!$B32))</f>
        <v>0.83333333333333337</v>
      </c>
      <c r="E32" s="208">
        <f>IF(E$39=0%,"-",IF(E$2=0,"-",BENDIGO!$B32))</f>
        <v>0</v>
      </c>
      <c r="F32" s="208">
        <f>IF(F$39=0%,"-",IF(F$2=0,"-",CBA!$B32))</f>
        <v>0.83333333333333337</v>
      </c>
      <c r="G32" s="208">
        <f>IF(G$39=0%,"-",IF(G$2=0,"-",ING!$B32))</f>
        <v>0</v>
      </c>
      <c r="H32" s="208">
        <f>IF(H$39=0%,"-",IF(H$2=0,"-",nab!$B32))</f>
        <v>0.6</v>
      </c>
      <c r="I32" s="208">
        <f>IF(I$39=0%,"-",IF(I$2=0,"-",Westpac!$B32))</f>
        <v>0</v>
      </c>
      <c r="J32" s="208">
        <f>IF(J$39=0%,"-",IF(J$2=0,"-",BANK_AUSTRALIA!$B32))</f>
        <v>0.8</v>
      </c>
      <c r="K32" s="208">
        <f>IF(K$39=0%,"-",IF(K$2=0,"-",GREAT_SOUTHERN!$B32))</f>
        <v>0.25</v>
      </c>
      <c r="L32" s="208">
        <f>IF(L$39=0%,"-",IF(L$2=0,"-",HUME!$B32))</f>
        <v>0.83333333333333337</v>
      </c>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0</v>
      </c>
      <c r="C34" s="212" t="s">
        <v>41</v>
      </c>
      <c r="D34" s="213">
        <f>IF(D$39=0%,"-",ANZ!$B$34)</f>
        <v>0</v>
      </c>
      <c r="E34" s="213">
        <f>IF(E$39=0%,"-",BENDIGO!$B$34)</f>
        <v>0</v>
      </c>
      <c r="F34" s="213">
        <f>IF(F$39=0%,"-",CBA!$B$34)</f>
        <v>0</v>
      </c>
      <c r="G34" s="213">
        <f>IF(G$39=0%,"-",ING!$B$34)</f>
        <v>0</v>
      </c>
      <c r="H34" s="213">
        <f>IF(H$39=0%,"-",nab!$B$34)</f>
        <v>0</v>
      </c>
      <c r="I34" s="213">
        <f>IF(I$39=0%,"-",Westpac!$B$34)</f>
        <v>0</v>
      </c>
      <c r="J34" s="213">
        <f>IF(J$39=0%,"-",BANK_AUSTRALIA!$B$34)</f>
        <v>0</v>
      </c>
      <c r="K34" s="213">
        <f>IF(K$39=0%,"-",GREAT_SOUTHERN!$B$34)</f>
        <v>0</v>
      </c>
      <c r="L34" s="213">
        <f>IF(L$39=0%,"-",HUME!$B$34)</f>
        <v>0</v>
      </c>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IF(D$39=0%,"-",IF(D$2=0,"-",ANZ!$B35))</f>
        <v>0</v>
      </c>
      <c r="E35" s="207">
        <f>IF(E$39=0%,"-",IF(E$2=0,"-",BENDIGO!$B35))</f>
        <v>0</v>
      </c>
      <c r="F35" s="207">
        <f>IF(F$39=0%,"-",IF(F$2=0,"-",CBA!$B35))</f>
        <v>0</v>
      </c>
      <c r="G35" s="207">
        <f>IF(G$39=0%,"-",IF(G$2=0,"-",ING!$B35))</f>
        <v>0</v>
      </c>
      <c r="H35" s="207">
        <f>IF(H$39=0%,"-",IF(H$2=0,"-",nab!$B35))</f>
        <v>0</v>
      </c>
      <c r="I35" s="207">
        <f>IF(I$39=0%,"-",IF(I$2=0,"-",Westpac!$B35))</f>
        <v>0</v>
      </c>
      <c r="J35" s="207">
        <f>IF(J$39=0%,"-",IF(J$2=0,"-",BANK_AUSTRALIA!$B35))</f>
        <v>0</v>
      </c>
      <c r="K35" s="207">
        <f>IF(K$39=0%,"-",IF(K$2=0,"-",GREAT_SOUTHERN!$B35))</f>
        <v>0</v>
      </c>
      <c r="L35" s="207">
        <f>IF(L$39=0%,"-",IF(L$2=0,"-",HUME!$B35))</f>
        <v>0</v>
      </c>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0</v>
      </c>
      <c r="C36" s="216">
        <v>-0.1</v>
      </c>
      <c r="D36" s="208">
        <f>IF(D$39=0%,"-",IF(D$2=0,"-",ANZ!$B36))</f>
        <v>0</v>
      </c>
      <c r="E36" s="208">
        <f>IF(E$39=0%,"-",IF(E$2=0,"-",BENDIGO!$B36))</f>
        <v>0</v>
      </c>
      <c r="F36" s="208">
        <f>IF(F$39=0%,"-",IF(F$2=0,"-",CBA!$B36))</f>
        <v>0</v>
      </c>
      <c r="G36" s="208">
        <f>IF(G$39=0%,"-",IF(G$2=0,"-",ING!$B36))</f>
        <v>0</v>
      </c>
      <c r="H36" s="208">
        <f>IF(H$39=0%,"-",IF(H$2=0,"-",nab!$B36))</f>
        <v>0</v>
      </c>
      <c r="I36" s="208">
        <f>IF(I$39=0%,"-",IF(I$2=0,"-",Westpac!$B36))</f>
        <v>0</v>
      </c>
      <c r="J36" s="208">
        <f>IF(J$39=0%,"-",IF(J$2=0,"-",BANK_AUSTRALIA!$B36))</f>
        <v>0</v>
      </c>
      <c r="K36" s="208">
        <f>IF(K$39=0%,"-",IF(K$2=0,"-",GREAT_SOUTHERN!$B36))</f>
        <v>0</v>
      </c>
      <c r="L36" s="208">
        <f>IF(L$39=0%,"-",IF(L$2=0,"-",HUME!$B36))</f>
        <v>0</v>
      </c>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3">
        <f t="shared" ref="B39:B45" si="2">IF($C$2=0,"-",AVERAGE(D39:L39))</f>
        <v>0.70370370370370372</v>
      </c>
      <c r="C39" s="219" t="s">
        <v>1</v>
      </c>
      <c r="D39" s="208">
        <f>IF(ANZ!$C2=0,"-",ANZ!$B39)</f>
        <v>1</v>
      </c>
      <c r="E39" s="208">
        <f>IF(BENDIGO!$C2=0,"-",BENDIGO!$B39)</f>
        <v>0.33333333333333331</v>
      </c>
      <c r="F39" s="208">
        <f>IF(CBA!$C2=0,"-",CBA!$B39)</f>
        <v>1</v>
      </c>
      <c r="G39" s="208">
        <f>IF(ING!$C2=0,"-",ING!$B39)</f>
        <v>0.33333333333333331</v>
      </c>
      <c r="H39" s="208">
        <f>IF(nab!$C2=0,"-",nab!$B39)</f>
        <v>0.83333333333333337</v>
      </c>
      <c r="I39" s="208">
        <f>IF(Westpac!$C2=0,"-",Westpac!$B39)</f>
        <v>0.16666666666666666</v>
      </c>
      <c r="J39" s="208">
        <f>IF(BANK_AUSTRALIA!$C2=0,"-",BANK_AUSTRALIA!$B39)</f>
        <v>1</v>
      </c>
      <c r="K39" s="208">
        <f>IF(GREAT_SOUTHERN!$C2=0,"-",GREAT_SOUTHERN!$B39)</f>
        <v>0.66666666666666663</v>
      </c>
      <c r="L39" s="208">
        <f>IF(HUME!$C2=0,"-",HUME!$B39)</f>
        <v>1</v>
      </c>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293" t="str">
        <f>REPORT!AG4</f>
        <v>TALK TIME</v>
      </c>
      <c r="B40" s="295">
        <f t="shared" si="2"/>
        <v>4.6209919410150901E-3</v>
      </c>
      <c r="C40" s="294" t="s">
        <v>1</v>
      </c>
      <c r="D40" s="292">
        <f>IF(D$39=0%,"-",IF(D$2=0,"-",ANZ!$B40))</f>
        <v>6.8152006172839509E-3</v>
      </c>
      <c r="E40" s="292">
        <f>IF(E$39=0%,"-",IF(E$2=0,"-",BENDIGO!$B40))</f>
        <v>4.9479166666666664E-3</v>
      </c>
      <c r="F40" s="292">
        <f>IF(F$39=0%,"-",IF(F$2=0,"-",CBA!$B40))</f>
        <v>5.0810185185185186E-3</v>
      </c>
      <c r="G40" s="292">
        <f>IF(G$39=0%,"-",IF(G$2=0,"-",ING!$B40))</f>
        <v>3.6458333333333334E-3</v>
      </c>
      <c r="H40" s="292">
        <f>IF(H$39=0%,"-",IF(H$2=0,"-",nab!$B40))</f>
        <v>6.4675925925925925E-3</v>
      </c>
      <c r="I40" s="292">
        <f>IF(I$39=0%,"-",IF(I$2=0,"-",Westpac!$B40))</f>
        <v>5.2430555555555555E-3</v>
      </c>
      <c r="J40" s="292">
        <f>IF(J$39=0%,"-",IF(J$2=0,"-",BANK_AUSTRALIA!$B40))</f>
        <v>3.8124999999999999E-3</v>
      </c>
      <c r="K40" s="292">
        <f>IF(K$39=0%,"-",IF(K$2=0,"-",GREAT_SOUTHERN!$B40))</f>
        <v>2.9542824074074076E-3</v>
      </c>
      <c r="L40" s="292">
        <f>IF(L$39=0%,"-",IF(L$2=0,"-",HUME!$B40))</f>
        <v>2.6215277777777777E-3</v>
      </c>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22">
        <f t="shared" si="2"/>
        <v>4.8833333333333337</v>
      </c>
      <c r="C41" s="219" t="s">
        <v>1</v>
      </c>
      <c r="D41" s="222">
        <f>IF(D$39=0%,"-",IF(D$2=0,"-",ANZ!$B41))</f>
        <v>6.666666666666667</v>
      </c>
      <c r="E41" s="222">
        <f>IF(E$39=0%,"-",IF(E$2=0,"-",BENDIGO!$B41))</f>
        <v>4</v>
      </c>
      <c r="F41" s="222">
        <f>IF(F$39=0%,"-",IF(F$2=0,"-",CBA!$B41))</f>
        <v>5</v>
      </c>
      <c r="G41" s="222">
        <f>IF(G$39=0%,"-",IF(G$2=0,"-",ING!$B41))</f>
        <v>3.5</v>
      </c>
      <c r="H41" s="222">
        <f>IF(H$39=0%,"-",IF(H$2=0,"-",nab!$B41))</f>
        <v>5.6</v>
      </c>
      <c r="I41" s="222">
        <f>IF(I$39=0%,"-",IF(I$2=0,"-",Westpac!$B41))</f>
        <v>4</v>
      </c>
      <c r="J41" s="222">
        <f>IF(J$39=0%,"-",IF(J$2=0,"-",BANK_AUSTRALIA!$B41))</f>
        <v>4.5999999999999996</v>
      </c>
      <c r="K41" s="222">
        <f>IF(K$39=0%,"-",IF(K$2=0,"-",GREAT_SOUTHERN!$B41))</f>
        <v>4.25</v>
      </c>
      <c r="L41" s="222">
        <f>IF(L$39=0%,"-",IF(L$2=0,"-",HUME!$B41))</f>
        <v>6.333333333333333</v>
      </c>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0.77962962962962956</v>
      </c>
      <c r="C42" s="220" t="s">
        <v>1</v>
      </c>
      <c r="D42" s="223">
        <f>IF(D$39=0%,"-",IF(D$2=0,"-",ANZ!$B42))</f>
        <v>1</v>
      </c>
      <c r="E42" s="223">
        <f>IF(E$39=0%,"-",IF(E$2=0,"-",BENDIGO!$B42))</f>
        <v>0.5</v>
      </c>
      <c r="F42" s="223">
        <f>IF(F$39=0%,"-",IF(F$2=0,"-",CBA!$B42))</f>
        <v>0.33333333333333331</v>
      </c>
      <c r="G42" s="223">
        <f>IF(G$39=0%,"-",IF(G$2=0,"-",ING!$B42))</f>
        <v>1</v>
      </c>
      <c r="H42" s="223">
        <f>IF(H$39=0%,"-",IF(H$2=0,"-",nab!$B42))</f>
        <v>0.8</v>
      </c>
      <c r="I42" s="223">
        <f>IF(I$39=0%,"-",IF(I$2=0,"-",Westpac!$B42))</f>
        <v>1</v>
      </c>
      <c r="J42" s="223">
        <f>IF(J$39=0%,"-",IF(J$2=0,"-",BANK_AUSTRALIA!$B42))</f>
        <v>0.8</v>
      </c>
      <c r="K42" s="223">
        <f>IF(K$39=0%,"-",IF(K$2=0,"-",GREAT_SOUTHERN!$B42))</f>
        <v>0.75</v>
      </c>
      <c r="L42" s="223">
        <f>IF(L$39=0%,"-",IF(L$2=0,"-",HUME!$B42))</f>
        <v>0.83333333333333337</v>
      </c>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0.72037037037037033</v>
      </c>
      <c r="C43" s="219" t="s">
        <v>1</v>
      </c>
      <c r="D43" s="208">
        <f>IF(D$39=0%,"-",IF(D$2=0,"-",ANZ!$B43))</f>
        <v>1</v>
      </c>
      <c r="E43" s="208">
        <f>IF(E$39=0%,"-",IF(E$2=0,"-",BENDIGO!$B43))</f>
        <v>1</v>
      </c>
      <c r="F43" s="208">
        <f>IF(F$39=0%,"-",IF(F$2=0,"-",CBA!$B43))</f>
        <v>0.5</v>
      </c>
      <c r="G43" s="208">
        <f>IF(G$39=0%,"-",IF(G$2=0,"-",ING!$B43))</f>
        <v>0.5</v>
      </c>
      <c r="H43" s="208">
        <f>IF(H$39=0%,"-",IF(H$2=0,"-",nab!$B43))</f>
        <v>0.6</v>
      </c>
      <c r="I43" s="208">
        <f>IF(I$39=0%,"-",IF(I$2=0,"-",Westpac!$B43))</f>
        <v>1</v>
      </c>
      <c r="J43" s="208">
        <f>IF(J$39=0%,"-",IF(J$2=0,"-",BANK_AUSTRALIA!$B43))</f>
        <v>0.8</v>
      </c>
      <c r="K43" s="208">
        <f>IF(K$39=0%,"-",IF(K$2=0,"-",GREAT_SOUTHERN!$B43))</f>
        <v>0.75</v>
      </c>
      <c r="L43" s="208">
        <f>IF(L$39=0%,"-",IF(L$2=0,"-",HUME!$B43))</f>
        <v>0.33333333333333331</v>
      </c>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0.94444444444444442</v>
      </c>
      <c r="C44" s="220" t="s">
        <v>1</v>
      </c>
      <c r="D44" s="223">
        <f>IF(D$39=0%,"-",IF(D$2=0,"-",ANZ!$B44))</f>
        <v>1</v>
      </c>
      <c r="E44" s="223">
        <f>IF(E$39=0%,"-",IF(E$2=0,"-",BENDIGO!$B44))</f>
        <v>1</v>
      </c>
      <c r="F44" s="223">
        <f>IF(F$39=0%,"-",IF(F$2=0,"-",CBA!$B44))</f>
        <v>1</v>
      </c>
      <c r="G44" s="223">
        <f>IF(G$39=0%,"-",IF(G$2=0,"-",ING!$B44))</f>
        <v>1</v>
      </c>
      <c r="H44" s="223">
        <f>IF(H$39=0%,"-",IF(H$2=0,"-",nab!$B44))</f>
        <v>1</v>
      </c>
      <c r="I44" s="223">
        <f>IF(I$39=0%,"-",IF(I$2=0,"-",Westpac!$B44))</f>
        <v>1</v>
      </c>
      <c r="J44" s="223">
        <f>IF(J$39=0%,"-",IF(J$2=0,"-",BANK_AUSTRALIA!$B44))</f>
        <v>1</v>
      </c>
      <c r="K44" s="223">
        <f>IF(K$39=0%,"-",IF(K$2=0,"-",GREAT_SOUTHERN!$B44))</f>
        <v>0.5</v>
      </c>
      <c r="L44" s="223">
        <f>IF(L$39=0%,"-",IF(L$2=0,"-",HUME!$B44))</f>
        <v>1</v>
      </c>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0.63148148148148142</v>
      </c>
      <c r="C45" s="219" t="s">
        <v>1</v>
      </c>
      <c r="D45" s="208">
        <f>IF(D$39=0%,"-",IF(D$2=0,"-",ANZ!$B45))</f>
        <v>0.5</v>
      </c>
      <c r="E45" s="208">
        <f>IF(E$39=0%,"-",IF(E$2=0,"-",BENDIGO!$B45))</f>
        <v>0.5</v>
      </c>
      <c r="F45" s="208">
        <f>IF(F$39=0%,"-",IF(F$2=0,"-",CBA!$B45))</f>
        <v>0.5</v>
      </c>
      <c r="G45" s="208">
        <f>IF(G$39=0%,"-",IF(G$2=0,"-",ING!$B45))</f>
        <v>1</v>
      </c>
      <c r="H45" s="208">
        <f>IF(H$39=0%,"-",IF(H$2=0,"-",nab!$B45))</f>
        <v>0.8</v>
      </c>
      <c r="I45" s="208">
        <f>IF(I$39=0%,"-",IF(I$2=0,"-",Westpac!$B45))</f>
        <v>0</v>
      </c>
      <c r="J45" s="208">
        <f>IF(J$39=0%,"-",IF(J$2=0,"-",BANK_AUSTRALIA!$B45))</f>
        <v>0.8</v>
      </c>
      <c r="K45" s="208">
        <f>IF(K$39=0%,"-",IF(K$2=0,"-",GREAT_SOUTHERN!$B45))</f>
        <v>0.75</v>
      </c>
      <c r="L45" s="208">
        <f>IF(L$39=0%,"-",IF(L$2=0,"-",HUME!$B45))</f>
        <v>0.83333333333333337</v>
      </c>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ANZ</v>
      </c>
      <c r="E47" s="227" t="str">
        <f t="shared" si="3"/>
        <v>BENDIGO BANK</v>
      </c>
      <c r="F47" s="227" t="str">
        <f t="shared" si="3"/>
        <v>CBA</v>
      </c>
      <c r="G47" s="227" t="str">
        <f t="shared" si="3"/>
        <v>ING</v>
      </c>
      <c r="H47" s="227" t="str">
        <f t="shared" si="3"/>
        <v>NAB</v>
      </c>
      <c r="I47" s="227" t="str">
        <f t="shared" si="3"/>
        <v>WESTPAC</v>
      </c>
      <c r="J47" s="227" t="str">
        <f t="shared" si="3"/>
        <v>BANK AUSTRALIA</v>
      </c>
      <c r="K47" s="227" t="str">
        <f t="shared" si="3"/>
        <v>GREAT SOUTHERN BANK</v>
      </c>
      <c r="L47" s="227" t="str">
        <f t="shared" si="3"/>
        <v>HUME BANK</v>
      </c>
      <c r="M47" s="227" t="str">
        <f t="shared" ref="M47:AG47" si="4">M1</f>
        <v>BANK 10</v>
      </c>
      <c r="N47" s="227" t="str">
        <f t="shared" si="4"/>
        <v>BANK 11</v>
      </c>
      <c r="O47" s="227" t="str">
        <f t="shared" si="4"/>
        <v>BANK 12</v>
      </c>
      <c r="P47" s="227" t="str">
        <f t="shared" si="4"/>
        <v>BANK 13</v>
      </c>
      <c r="Q47" s="227" t="str">
        <f t="shared" si="4"/>
        <v>BANK 14</v>
      </c>
      <c r="R47" s="227" t="str">
        <f t="shared" si="4"/>
        <v>BANK 15</v>
      </c>
      <c r="S47" s="227" t="str">
        <f t="shared" si="4"/>
        <v>BANK 16</v>
      </c>
      <c r="T47" s="227" t="str">
        <f t="shared" si="4"/>
        <v>BANK 17</v>
      </c>
      <c r="U47" s="227" t="str">
        <f t="shared" si="4"/>
        <v>BANK 18</v>
      </c>
      <c r="V47" s="227" t="str">
        <f t="shared" si="4"/>
        <v>BANK 19</v>
      </c>
      <c r="W47" s="227" t="str">
        <f t="shared" si="4"/>
        <v>BANK 20</v>
      </c>
      <c r="X47" s="227" t="str">
        <f t="shared" si="4"/>
        <v>BANK 21</v>
      </c>
      <c r="Y47" s="227" t="str">
        <f t="shared" si="4"/>
        <v>BANK 22</v>
      </c>
      <c r="Z47" s="227" t="str">
        <f t="shared" si="4"/>
        <v>BANK 23</v>
      </c>
      <c r="AA47" s="227" t="str">
        <f t="shared" si="4"/>
        <v>BANK 24</v>
      </c>
      <c r="AB47" s="227"/>
      <c r="AC47" s="227"/>
      <c r="AD47" s="227"/>
      <c r="AE47" s="227" t="str">
        <f t="shared" si="4"/>
        <v>BANK 28</v>
      </c>
      <c r="AF47" s="227" t="str">
        <f t="shared" si="4"/>
        <v>BANK 29</v>
      </c>
      <c r="AG47" s="227" t="str">
        <f t="shared" si="4"/>
        <v>BANK 30</v>
      </c>
    </row>
    <row r="48" spans="1:35" ht="21" x14ac:dyDescent="0.2">
      <c r="A48" s="88" t="s">
        <v>61</v>
      </c>
      <c r="B48" s="228">
        <f>IF(B51="-","-",AVERAGE(D48:L48))</f>
        <v>0.40620943562610229</v>
      </c>
      <c r="C48" s="229" t="s">
        <v>1</v>
      </c>
      <c r="D48" s="89">
        <f t="shared" ref="D48:I48" si="5">IF(D51="-","-",IF(D$67&lt;0%,0%,D$67))</f>
        <v>0.69557341269841266</v>
      </c>
      <c r="E48" s="89">
        <f t="shared" si="5"/>
        <v>0.20050595238095242</v>
      </c>
      <c r="F48" s="89">
        <f t="shared" si="5"/>
        <v>0.488875</v>
      </c>
      <c r="G48" s="89">
        <f t="shared" si="5"/>
        <v>6.3425595238095211E-2</v>
      </c>
      <c r="H48" s="89">
        <f t="shared" si="5"/>
        <v>0.55417261904761905</v>
      </c>
      <c r="I48" s="89">
        <f t="shared" si="5"/>
        <v>1.2833333333333308E-2</v>
      </c>
      <c r="J48" s="89">
        <f>IF(J51="-","-",IF(J$67&lt;0%,0%,J$67))</f>
        <v>0.513797619047619</v>
      </c>
      <c r="K48" s="89">
        <f>IF(K51="-","-",IF(K$67&lt;0%,0%,K$67))</f>
        <v>0.37867559523809524</v>
      </c>
      <c r="L48" s="89">
        <f>IF(L51="-","-",IF(L$67&lt;0%,0%,L$67))</f>
        <v>0.74802579365079369</v>
      </c>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232"/>
      <c r="L49" s="232"/>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232"/>
      <c r="L50" s="232"/>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0.41326499118165783</v>
      </c>
      <c r="C51" s="93">
        <v>0.3</v>
      </c>
      <c r="D51" s="94">
        <f>[1]OVERALL!D$4</f>
        <v>0.6333928571428572</v>
      </c>
      <c r="E51" s="94">
        <f>[1]OVERALL!E$4</f>
        <v>0.34821428571428575</v>
      </c>
      <c r="F51" s="94">
        <f>[1]OVERALL!F$4</f>
        <v>0.31708333333333333</v>
      </c>
      <c r="G51" s="94">
        <f>[1]OVERALL!G$4</f>
        <v>6.6279761904761911E-2</v>
      </c>
      <c r="H51" s="94">
        <f>[1]OVERALL!H$4</f>
        <v>0.40446428571428572</v>
      </c>
      <c r="I51" s="94">
        <f>[1]OVERALL!I$4</f>
        <v>4.1388888888888885E-2</v>
      </c>
      <c r="J51" s="94">
        <f>[1]OVERALL!J$4</f>
        <v>0.52071428571428569</v>
      </c>
      <c r="K51" s="94">
        <f>[1]OVERALL!K$4</f>
        <v>0.49697420634920636</v>
      </c>
      <c r="L51" s="94">
        <f>[1]OVERALL!L$4</f>
        <v>0.89087301587301582</v>
      </c>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0.53016975308641978</v>
      </c>
      <c r="C52" s="93">
        <v>0.7</v>
      </c>
      <c r="D52" s="94">
        <f t="shared" ref="D52:L52" si="6">D4</f>
        <v>0.72222222222222221</v>
      </c>
      <c r="E52" s="94">
        <f t="shared" si="6"/>
        <v>0.42291666666666672</v>
      </c>
      <c r="F52" s="94">
        <f t="shared" si="6"/>
        <v>0.5625</v>
      </c>
      <c r="G52" s="94">
        <f t="shared" si="6"/>
        <v>0.34791666666666665</v>
      </c>
      <c r="H52" s="94">
        <f t="shared" si="6"/>
        <v>0.6183333333333334</v>
      </c>
      <c r="I52" s="94">
        <f t="shared" si="6"/>
        <v>0.42916666666666664</v>
      </c>
      <c r="J52" s="94">
        <f t="shared" si="6"/>
        <v>0.51083333333333325</v>
      </c>
      <c r="K52" s="94">
        <f t="shared" si="6"/>
        <v>0.47083333333333333</v>
      </c>
      <c r="L52" s="94">
        <f t="shared" si="6"/>
        <v>0.68680555555555556</v>
      </c>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235"/>
      <c r="L53" s="235"/>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0.12397949735449734</v>
      </c>
      <c r="C55" s="245"/>
      <c r="D55" s="97">
        <f t="shared" ref="D55:I55" si="7">IF(D51="-","-",D51*$C$51)</f>
        <v>0.19001785714285716</v>
      </c>
      <c r="E55" s="97">
        <f t="shared" si="7"/>
        <v>0.10446428571428572</v>
      </c>
      <c r="F55" s="97">
        <f t="shared" si="7"/>
        <v>9.5125000000000001E-2</v>
      </c>
      <c r="G55" s="97">
        <f t="shared" si="7"/>
        <v>1.9883928571428573E-2</v>
      </c>
      <c r="H55" s="97">
        <f t="shared" si="7"/>
        <v>0.12133928571428571</v>
      </c>
      <c r="I55" s="97">
        <f t="shared" si="7"/>
        <v>1.2416666666666664E-2</v>
      </c>
      <c r="J55" s="97">
        <f>IF(J51="-","-",J51*$C$51)</f>
        <v>0.15621428571428569</v>
      </c>
      <c r="K55" s="97">
        <f>IF(K51="-","-",K51*$C$51)</f>
        <v>0.14909226190476191</v>
      </c>
      <c r="L55" s="97">
        <f>IF(L51="-","-",L51*$C$51)</f>
        <v>0.26726190476190476</v>
      </c>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0.37111882716049382</v>
      </c>
      <c r="C56" s="245"/>
      <c r="D56" s="98">
        <f t="shared" ref="D56:L56" si="8">IF(D52="-","-",D52*$C$52)</f>
        <v>0.50555555555555554</v>
      </c>
      <c r="E56" s="98">
        <f t="shared" si="8"/>
        <v>0.2960416666666667</v>
      </c>
      <c r="F56" s="98">
        <f t="shared" si="8"/>
        <v>0.39374999999999999</v>
      </c>
      <c r="G56" s="98">
        <f t="shared" si="8"/>
        <v>0.24354166666666663</v>
      </c>
      <c r="H56" s="98">
        <f t="shared" si="8"/>
        <v>0.43283333333333335</v>
      </c>
      <c r="I56" s="98">
        <f t="shared" si="8"/>
        <v>0.30041666666666661</v>
      </c>
      <c r="J56" s="98">
        <f t="shared" si="8"/>
        <v>0.35758333333333325</v>
      </c>
      <c r="K56" s="98">
        <f t="shared" si="8"/>
        <v>0.32958333333333328</v>
      </c>
      <c r="L56" s="98">
        <f t="shared" si="8"/>
        <v>0.48076388888888888</v>
      </c>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0.49509832451499114</v>
      </c>
      <c r="C57" s="240" t="s">
        <v>1</v>
      </c>
      <c r="D57" s="100">
        <f t="shared" ref="D57:I57" si="9">IF(D51="-","-",SUM(D55:D56))</f>
        <v>0.69557341269841266</v>
      </c>
      <c r="E57" s="100">
        <f t="shared" si="9"/>
        <v>0.40050595238095243</v>
      </c>
      <c r="F57" s="100">
        <f t="shared" si="9"/>
        <v>0.488875</v>
      </c>
      <c r="G57" s="100">
        <f t="shared" si="9"/>
        <v>0.26342559523809522</v>
      </c>
      <c r="H57" s="100">
        <f t="shared" si="9"/>
        <v>0.55417261904761905</v>
      </c>
      <c r="I57" s="100">
        <f t="shared" si="9"/>
        <v>0.3128333333333333</v>
      </c>
      <c r="J57" s="100">
        <f>IF(J51="-","-",SUM(J55:J56))</f>
        <v>0.513797619047619</v>
      </c>
      <c r="K57" s="100">
        <f>IF(K51="-","-",SUM(K55:K56))</f>
        <v>0.47867559523809522</v>
      </c>
      <c r="L57" s="100">
        <f>IF(L51="-","-",SUM(L55:L56))</f>
        <v>0.74802579365079369</v>
      </c>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241" t="s">
        <v>1</v>
      </c>
      <c r="L58" s="241" t="s">
        <v>1</v>
      </c>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0.70370370370370372</v>
      </c>
      <c r="C59" s="259"/>
      <c r="D59" s="102">
        <f t="shared" ref="D59:L59" si="10">D39</f>
        <v>1</v>
      </c>
      <c r="E59" s="102">
        <f t="shared" si="10"/>
        <v>0.33333333333333331</v>
      </c>
      <c r="F59" s="102">
        <f t="shared" si="10"/>
        <v>1</v>
      </c>
      <c r="G59" s="102">
        <f t="shared" si="10"/>
        <v>0.33333333333333331</v>
      </c>
      <c r="H59" s="102">
        <f t="shared" si="10"/>
        <v>0.83333333333333337</v>
      </c>
      <c r="I59" s="102">
        <f t="shared" si="10"/>
        <v>0.16666666666666666</v>
      </c>
      <c r="J59" s="102">
        <f t="shared" si="10"/>
        <v>1</v>
      </c>
      <c r="K59" s="102">
        <f t="shared" si="10"/>
        <v>0.66666666666666663</v>
      </c>
      <c r="L59" s="102">
        <f t="shared" si="10"/>
        <v>1</v>
      </c>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82" t="s">
        <v>1</v>
      </c>
      <c r="C60" s="383"/>
      <c r="D60" s="104">
        <f t="shared" ref="D60:I60" si="11">IF(D51="-","-",SUM(D63:D66))</f>
        <v>0</v>
      </c>
      <c r="E60" s="104">
        <f t="shared" si="11"/>
        <v>0.2</v>
      </c>
      <c r="F60" s="104">
        <f t="shared" si="11"/>
        <v>0</v>
      </c>
      <c r="G60" s="104">
        <f t="shared" si="11"/>
        <v>0.2</v>
      </c>
      <c r="H60" s="104">
        <f t="shared" si="11"/>
        <v>0</v>
      </c>
      <c r="I60" s="104">
        <f t="shared" si="11"/>
        <v>0.3</v>
      </c>
      <c r="J60" s="104">
        <f>IF(J51="-","-",SUM(J63:J66))</f>
        <v>0</v>
      </c>
      <c r="K60" s="104">
        <f>IF(K51="-","-",SUM(K63:K66))</f>
        <v>0.1</v>
      </c>
      <c r="L60" s="104">
        <f>IF(L51="-","-",SUM(L63:L66))</f>
        <v>0</v>
      </c>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7"/>
      <c r="L61" s="117"/>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245"/>
      <c r="L62" s="245"/>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7">
        <f t="shared" ref="D63:L63" si="12">IF(D59&gt;75%, $B$63, "-")</f>
        <v>0</v>
      </c>
      <c r="E63" s="267" t="str">
        <f t="shared" si="12"/>
        <v>-</v>
      </c>
      <c r="F63" s="267">
        <f t="shared" si="12"/>
        <v>0</v>
      </c>
      <c r="G63" s="267" t="str">
        <f t="shared" si="12"/>
        <v>-</v>
      </c>
      <c r="H63" s="267">
        <f t="shared" si="12"/>
        <v>0</v>
      </c>
      <c r="I63" s="267" t="str">
        <f t="shared" si="12"/>
        <v>-</v>
      </c>
      <c r="J63" s="267">
        <f t="shared" si="12"/>
        <v>0</v>
      </c>
      <c r="K63" s="267" t="str">
        <f t="shared" si="12"/>
        <v>-</v>
      </c>
      <c r="L63" s="267">
        <f t="shared" si="12"/>
        <v>0</v>
      </c>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7" t="str">
        <f t="shared" ref="D64:L64" si="13">IF(D59&gt;50%, IF(D59&lt;=75%, $B$64, "-"), "-")</f>
        <v>-</v>
      </c>
      <c r="E64" s="267" t="str">
        <f t="shared" si="13"/>
        <v>-</v>
      </c>
      <c r="F64" s="267" t="str">
        <f t="shared" si="13"/>
        <v>-</v>
      </c>
      <c r="G64" s="267" t="str">
        <f t="shared" si="13"/>
        <v>-</v>
      </c>
      <c r="H64" s="267" t="str">
        <f t="shared" si="13"/>
        <v>-</v>
      </c>
      <c r="I64" s="267" t="str">
        <f t="shared" si="13"/>
        <v>-</v>
      </c>
      <c r="J64" s="267" t="str">
        <f t="shared" si="13"/>
        <v>-</v>
      </c>
      <c r="K64" s="267">
        <f t="shared" si="13"/>
        <v>0.1</v>
      </c>
      <c r="L64" s="267" t="str">
        <f t="shared" si="13"/>
        <v>-</v>
      </c>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7" t="str">
        <f t="shared" ref="D65:L65" si="14">IF(D59&lt;=50%, IF(D59&gt;25%, $B$65, "-"), "-")</f>
        <v>-</v>
      </c>
      <c r="E65" s="267">
        <f t="shared" si="14"/>
        <v>0.2</v>
      </c>
      <c r="F65" s="267" t="str">
        <f t="shared" si="14"/>
        <v>-</v>
      </c>
      <c r="G65" s="267">
        <f t="shared" si="14"/>
        <v>0.2</v>
      </c>
      <c r="H65" s="267" t="str">
        <f t="shared" si="14"/>
        <v>-</v>
      </c>
      <c r="I65" s="267" t="str">
        <f t="shared" si="14"/>
        <v>-</v>
      </c>
      <c r="J65" s="267" t="str">
        <f t="shared" si="14"/>
        <v>-</v>
      </c>
      <c r="K65" s="267" t="str">
        <f t="shared" si="14"/>
        <v>-</v>
      </c>
      <c r="L65" s="267" t="str">
        <f t="shared" si="14"/>
        <v>-</v>
      </c>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7" t="str">
        <f t="shared" ref="D66:L66" si="15">IF(D59&lt;=25%, $B$66, "-")</f>
        <v>-</v>
      </c>
      <c r="E66" s="267" t="str">
        <f t="shared" si="15"/>
        <v>-</v>
      </c>
      <c r="F66" s="267" t="str">
        <f t="shared" si="15"/>
        <v>-</v>
      </c>
      <c r="G66" s="267" t="str">
        <f t="shared" si="15"/>
        <v>-</v>
      </c>
      <c r="H66" s="267" t="str">
        <f t="shared" si="15"/>
        <v>-</v>
      </c>
      <c r="I66" s="267">
        <f t="shared" si="15"/>
        <v>0.3</v>
      </c>
      <c r="J66" s="267" t="str">
        <f t="shared" si="15"/>
        <v>-</v>
      </c>
      <c r="K66" s="267" t="str">
        <f t="shared" si="15"/>
        <v>-</v>
      </c>
      <c r="L66" s="267" t="str">
        <f t="shared" si="15"/>
        <v>-</v>
      </c>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0.69557341269841266</v>
      </c>
      <c r="E67" s="107">
        <f t="shared" si="16"/>
        <v>0.20050595238095242</v>
      </c>
      <c r="F67" s="107">
        <f t="shared" si="16"/>
        <v>0.488875</v>
      </c>
      <c r="G67" s="107">
        <f t="shared" si="16"/>
        <v>6.3425595238095211E-2</v>
      </c>
      <c r="H67" s="107">
        <f t="shared" si="16"/>
        <v>0.55417261904761905</v>
      </c>
      <c r="I67" s="107">
        <f t="shared" si="16"/>
        <v>1.2833333333333308E-2</v>
      </c>
      <c r="J67" s="107">
        <f>IF(J51="-","-",J57-J60)</f>
        <v>0.513797619047619</v>
      </c>
      <c r="K67" s="107">
        <f>IF(K51="-","-",K57-K60)</f>
        <v>0.37867559523809524</v>
      </c>
      <c r="L67" s="107">
        <f>IF(L51="-","-",L57-L60)</f>
        <v>0.74802579365079369</v>
      </c>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74" customFormat="1" x14ac:dyDescent="0.2">
      <c r="A69" s="111" t="s">
        <v>107</v>
      </c>
      <c r="B69" s="278">
        <f>[1]OVERALL!$B$70</f>
        <v>3.7948388203017836E-3</v>
      </c>
      <c r="C69" s="277"/>
      <c r="D69" s="278">
        <f>[1]OVERALL!D$70</f>
        <v>2.6890432098765436E-3</v>
      </c>
      <c r="E69" s="278">
        <f>[1]OVERALL!E$70</f>
        <v>5.923996913580247E-3</v>
      </c>
      <c r="F69" s="278">
        <f>[1]OVERALL!F$70</f>
        <v>3.5513117283950623E-3</v>
      </c>
      <c r="G69" s="278">
        <f>[1]OVERALL!G$70</f>
        <v>7.2858796296296283E-3</v>
      </c>
      <c r="H69" s="278">
        <f>[1]OVERALL!H$70</f>
        <v>3.9409722222222224E-3</v>
      </c>
      <c r="I69" s="278">
        <f>[1]OVERALL!I$70</f>
        <v>1.3599537037037037E-3</v>
      </c>
      <c r="J69" s="278">
        <f>[1]OVERALL!J$70</f>
        <v>4.2962962962962963E-3</v>
      </c>
      <c r="K69" s="278">
        <f>[1]OVERALL!K$70</f>
        <v>3.9544753086419755E-3</v>
      </c>
      <c r="L69" s="278">
        <f>[1]OVERALL!L$70</f>
        <v>1.1516203703703703E-3</v>
      </c>
    </row>
    <row r="70" spans="1:33" s="274" customFormat="1" x14ac:dyDescent="0.2">
      <c r="A70" s="277" t="s">
        <v>40</v>
      </c>
      <c r="B70" s="278">
        <f>B40</f>
        <v>4.6209919410150901E-3</v>
      </c>
      <c r="C70" s="277"/>
      <c r="D70" s="279">
        <f t="shared" ref="D70:I70" si="17">D40</f>
        <v>6.8152006172839509E-3</v>
      </c>
      <c r="E70" s="279">
        <f t="shared" si="17"/>
        <v>4.9479166666666664E-3</v>
      </c>
      <c r="F70" s="279">
        <f t="shared" si="17"/>
        <v>5.0810185185185186E-3</v>
      </c>
      <c r="G70" s="279">
        <f t="shared" si="17"/>
        <v>3.6458333333333334E-3</v>
      </c>
      <c r="H70" s="279">
        <f t="shared" si="17"/>
        <v>6.4675925925925925E-3</v>
      </c>
      <c r="I70" s="279">
        <f t="shared" si="17"/>
        <v>5.2430555555555555E-3</v>
      </c>
      <c r="J70" s="279">
        <f>J40</f>
        <v>3.8124999999999999E-3</v>
      </c>
      <c r="K70" s="279">
        <f>K40</f>
        <v>2.9542824074074076E-3</v>
      </c>
      <c r="L70" s="279">
        <f>L40</f>
        <v>2.6215277777777777E-3</v>
      </c>
    </row>
    <row r="71" spans="1:33" s="274" customFormat="1" x14ac:dyDescent="0.2">
      <c r="A71" s="249" t="s">
        <v>106</v>
      </c>
      <c r="B71" s="280">
        <f>IF(B69="-","-",SUM(B69:B70))</f>
        <v>8.4158307613168733E-3</v>
      </c>
      <c r="C71" s="277"/>
      <c r="D71" s="280">
        <f t="shared" ref="D71:I71" si="18">IF(D69="-","-",SUM(D69:D70))</f>
        <v>9.5042438271604954E-3</v>
      </c>
      <c r="E71" s="280">
        <f t="shared" si="18"/>
        <v>1.0871913580246913E-2</v>
      </c>
      <c r="F71" s="280">
        <f t="shared" si="18"/>
        <v>8.6323302469135804E-3</v>
      </c>
      <c r="G71" s="280">
        <f t="shared" si="18"/>
        <v>1.0931712962962963E-2</v>
      </c>
      <c r="H71" s="280">
        <f t="shared" si="18"/>
        <v>1.0408564814814815E-2</v>
      </c>
      <c r="I71" s="280">
        <f t="shared" si="18"/>
        <v>6.603009259259259E-3</v>
      </c>
      <c r="J71" s="280">
        <f>IF(J69="-","-",SUM(J69:J70))</f>
        <v>8.1087962962962962E-3</v>
      </c>
      <c r="K71" s="280">
        <f>IF(K69="-","-",SUM(K69:K70))</f>
        <v>6.9087577160493827E-3</v>
      </c>
      <c r="L71" s="280">
        <f>IF(L69="-","-",SUM(L69:L70))</f>
        <v>3.7731481481481479E-3</v>
      </c>
    </row>
    <row r="73" spans="1:33" x14ac:dyDescent="0.2">
      <c r="J73" t="s">
        <v>111</v>
      </c>
    </row>
  </sheetData>
  <sortState xmlns:xlrd2="http://schemas.microsoft.com/office/spreadsheetml/2017/richdata2" ref="AI15:AI20">
    <sortCondition ref="AI15:AI20"/>
  </sortState>
  <mergeCells count="1">
    <mergeCell ref="B60:C60"/>
  </mergeCells>
  <phoneticPr fontId="26" type="noConversion"/>
  <conditionalFormatting sqref="B4 D4:AG4 D12:AG12 D17:AG17 D23:AG23 D28:AG28">
    <cfRule type="containsBlanks" dxfId="158" priority="31">
      <formula>LEN(TRIM(B4))=0</formula>
    </cfRule>
    <cfRule type="cellIs" dxfId="157" priority="32" operator="lessThan">
      <formula>0.45</formula>
    </cfRule>
    <cfRule type="cellIs" dxfId="156" priority="33" operator="greaterThanOrEqual">
      <formula>0.905</formula>
    </cfRule>
    <cfRule type="cellIs" dxfId="155" priority="34" operator="between">
      <formula>0.754999</formula>
      <formula>0.905</formula>
    </cfRule>
    <cfRule type="cellIs" dxfId="154" priority="35" operator="between">
      <formula>0.604999</formula>
      <formula>0.754999</formula>
    </cfRule>
    <cfRule type="cellIs" dxfId="153"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7"/>
  <sheetViews>
    <sheetView zoomScale="80" zoomScaleNormal="80" workbookViewId="0">
      <pane xSplit="3" ySplit="6" topLeftCell="D47" activePane="bottomRight" state="frozen"/>
      <selection activeCell="F39" sqref="F39:F47"/>
      <selection pane="topRight" activeCell="F39" sqref="F39:F47"/>
      <selection pane="bottomLeft" activeCell="F39" sqref="F39:F47"/>
      <selection pane="bottomRight" activeCell="B4" sqref="B4"/>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31" t="s">
        <v>172</v>
      </c>
      <c r="E2" s="301" t="s">
        <v>126</v>
      </c>
      <c r="F2" s="306" t="s">
        <v>131</v>
      </c>
      <c r="G2" s="312" t="s">
        <v>142</v>
      </c>
      <c r="H2" s="319" t="s">
        <v>161</v>
      </c>
      <c r="I2" s="338" t="s">
        <v>133</v>
      </c>
    </row>
    <row r="3" spans="1:11" ht="19" x14ac:dyDescent="0.2">
      <c r="A3" s="33" t="str">
        <f>OVERALL!D1</f>
        <v>ANZ</v>
      </c>
      <c r="B3" s="248">
        <f>OVERALL!D3</f>
        <v>0.69557341269841266</v>
      </c>
      <c r="C3" s="108" t="s">
        <v>73</v>
      </c>
      <c r="D3" s="109">
        <f>IF(D2="-","-",D57)</f>
        <v>0.88537500000000002</v>
      </c>
      <c r="E3" s="109">
        <f t="shared" ref="E3:I3" si="0">IF(E2="-","-",E57)</f>
        <v>0.71350000000000002</v>
      </c>
      <c r="F3" s="109">
        <f t="shared" si="0"/>
        <v>0.55391666666666661</v>
      </c>
      <c r="G3" s="109">
        <f t="shared" si="0"/>
        <v>0.71451190476190474</v>
      </c>
      <c r="H3" s="109">
        <f t="shared" si="0"/>
        <v>0.59433333333333327</v>
      </c>
      <c r="I3" s="109">
        <f t="shared" si="0"/>
        <v>0.71180357142857142</v>
      </c>
    </row>
    <row r="4" spans="1:11" ht="18" customHeight="1" x14ac:dyDescent="0.2">
      <c r="A4" s="17" t="str">
        <f>OVERALL!A4</f>
        <v>QUALITY SCORE</v>
      </c>
      <c r="B4" s="38">
        <f>IF(C2=0, "-", IF(COUNTIF(D39:I39, "n")=C2, "-", IF(COUNT(D4:I4)=0, "-", AVERAGE(D4:I4))))</f>
        <v>0.72222222222222221</v>
      </c>
      <c r="C4" s="58" t="s">
        <v>1</v>
      </c>
      <c r="D4" s="38">
        <f>IF(D48&lt;0%,0%,IF(D$2="-","-",IF(D$39="n", "-", SUM(D$6,D$12,D$17,D$23,D$28,D$34))))</f>
        <v>0.9375</v>
      </c>
      <c r="E4" s="38">
        <f t="shared" ref="E4:I4" si="1">IF(E48&lt;0%,0%,IF(E$2="-","-",IF(E$39="n", "-", SUM(E$6,E$12,E$17,E$23,E$28,E$34))))</f>
        <v>0.75000000000000011</v>
      </c>
      <c r="F4" s="38">
        <f t="shared" si="1"/>
        <v>0.50416666666666665</v>
      </c>
      <c r="G4" s="38">
        <f t="shared" si="1"/>
        <v>0.78333333333333344</v>
      </c>
      <c r="H4" s="38">
        <f t="shared" si="1"/>
        <v>0.5708333333333333</v>
      </c>
      <c r="I4" s="38">
        <f t="shared" si="1"/>
        <v>0.78750000000000009</v>
      </c>
      <c r="K4" s="12" t="s">
        <v>8</v>
      </c>
    </row>
    <row r="5" spans="1:11" ht="18" customHeight="1" x14ac:dyDescent="0.25">
      <c r="A5" s="57" t="s">
        <v>48</v>
      </c>
      <c r="B5" s="58">
        <f>IF(B6="-","-",AVERAGE(D5:I5))</f>
        <v>0.72222222222222221</v>
      </c>
      <c r="C5" s="58" t="s">
        <v>1</v>
      </c>
      <c r="D5" s="60">
        <f t="shared" ref="D5:I5" si="2">IF(D$2="","",IF(D$39="n", "", SUM(D$6,D$12,D$17,D$23,D$28)))</f>
        <v>0.9375</v>
      </c>
      <c r="E5" s="60">
        <f t="shared" si="2"/>
        <v>0.75000000000000011</v>
      </c>
      <c r="F5" s="60">
        <f t="shared" si="2"/>
        <v>0.50416666666666665</v>
      </c>
      <c r="G5" s="60">
        <f t="shared" si="2"/>
        <v>0.78333333333333344</v>
      </c>
      <c r="H5" s="60">
        <f t="shared" si="2"/>
        <v>0.5708333333333333</v>
      </c>
      <c r="I5" s="60">
        <f t="shared" si="2"/>
        <v>0.78750000000000009</v>
      </c>
      <c r="K5" s="7" t="s">
        <v>16</v>
      </c>
    </row>
    <row r="6" spans="1:11" ht="18" customHeight="1" x14ac:dyDescent="0.2">
      <c r="A6" s="20" t="str">
        <f>OVERALL!A6</f>
        <v>ENGAGE</v>
      </c>
      <c r="B6" s="21">
        <f>IF(C11=0,"-",AVERAGE(B7:B10))</f>
        <v>0.5</v>
      </c>
      <c r="C6" s="61" t="s">
        <v>0</v>
      </c>
      <c r="D6" s="29">
        <f>IF(D11=0,"-",(COUNTIF(D7:D10, "y")/D11)*OVERALL!$C$6)</f>
        <v>0.2</v>
      </c>
      <c r="E6" s="29">
        <f>IF(E11=0,"-",(COUNTIF(E7:E10, "y")/E11)*OVERALL!$C$6)</f>
        <v>0.15000000000000002</v>
      </c>
      <c r="F6" s="29">
        <f>IF(F11=0,"-",(COUNTIF(F7:F10, "y")/F11)*OVERALL!$C$6)</f>
        <v>0.05</v>
      </c>
      <c r="G6" s="29">
        <f>IF(G11=0,"-",(COUNTIF(G7:G10, "y")/G11)*OVERALL!$C$6)</f>
        <v>0.1</v>
      </c>
      <c r="H6" s="29">
        <f>IF(H11=0,"-",(COUNTIF(H7:H10, "y")/H11)*OVERALL!$C$6)</f>
        <v>0.05</v>
      </c>
      <c r="I6" s="29">
        <f>IF(I11=0,"-",(COUNTIF(I7:I10, "y")/I11)*OVERALL!$C$6)</f>
        <v>0.05</v>
      </c>
    </row>
    <row r="7" spans="1:11" ht="18" customHeight="1" x14ac:dyDescent="0.2">
      <c r="A7" s="34" t="str">
        <f>OVERALL!A7</f>
        <v>WELCOME</v>
      </c>
      <c r="B7" s="3">
        <f>IF(C7=0,"-",COUNTIF(D7:I7,"y")/C7)</f>
        <v>0.83333333333333337</v>
      </c>
      <c r="C7" s="27">
        <f>$C$2-COUNTIF(D7:I7, "-")</f>
        <v>6</v>
      </c>
      <c r="D7" s="330" t="s">
        <v>124</v>
      </c>
      <c r="E7" s="300" t="s">
        <v>124</v>
      </c>
      <c r="F7" s="305" t="s">
        <v>124</v>
      </c>
      <c r="G7" s="311" t="s">
        <v>124</v>
      </c>
      <c r="H7" s="318" t="s">
        <v>124</v>
      </c>
      <c r="I7" s="337" t="s">
        <v>123</v>
      </c>
      <c r="K7" s="11" t="s">
        <v>2</v>
      </c>
    </row>
    <row r="8" spans="1:11" ht="18" customHeight="1" x14ac:dyDescent="0.25">
      <c r="A8" s="34" t="str">
        <f>OVERALL!A8</f>
        <v>INTENT</v>
      </c>
      <c r="B8" s="3">
        <f>IF(C8=0,"-",COUNTIF(D8:I8,"y")/C8)</f>
        <v>0.5</v>
      </c>
      <c r="C8" s="27">
        <f>$C$2-COUNTIF(D8:I8, "-")</f>
        <v>6</v>
      </c>
      <c r="D8" s="330" t="s">
        <v>124</v>
      </c>
      <c r="E8" s="300" t="s">
        <v>124</v>
      </c>
      <c r="F8" s="305" t="s">
        <v>123</v>
      </c>
      <c r="G8" s="311" t="s">
        <v>123</v>
      </c>
      <c r="H8" s="318" t="s">
        <v>123</v>
      </c>
      <c r="I8" s="337" t="s">
        <v>124</v>
      </c>
      <c r="K8" s="7" t="s">
        <v>15</v>
      </c>
    </row>
    <row r="9" spans="1:11" ht="18" customHeight="1" x14ac:dyDescent="0.2">
      <c r="A9" s="34" t="str">
        <f>OVERALL!A9</f>
        <v>NAME</v>
      </c>
      <c r="B9" s="3">
        <f>IF(C9=0,"-",COUNTIF(D9:I9,"y")/C9)</f>
        <v>0.16666666666666666</v>
      </c>
      <c r="C9" s="27">
        <f>$C$2-COUNTIF(D9:I9, "-")</f>
        <v>6</v>
      </c>
      <c r="D9" s="330" t="s">
        <v>124</v>
      </c>
      <c r="E9" s="300" t="s">
        <v>123</v>
      </c>
      <c r="F9" s="305" t="s">
        <v>123</v>
      </c>
      <c r="G9" s="311" t="s">
        <v>123</v>
      </c>
      <c r="H9" s="318" t="s">
        <v>123</v>
      </c>
      <c r="I9" s="337" t="s">
        <v>123</v>
      </c>
      <c r="K9" t="s">
        <v>1</v>
      </c>
    </row>
    <row r="10" spans="1:11" ht="18" customHeight="1" x14ac:dyDescent="0.2">
      <c r="A10" s="34" t="str">
        <f>OVERALL!A10</f>
        <v>BRIDGE</v>
      </c>
      <c r="B10" s="3">
        <f>IF(C10=0,"-",COUNTIF(D10:I10,"y")/C10)</f>
        <v>0.5</v>
      </c>
      <c r="C10" s="27">
        <f>$C$2-COUNTIF(D10:I10, "-")</f>
        <v>6</v>
      </c>
      <c r="D10" s="330" t="s">
        <v>124</v>
      </c>
      <c r="E10" s="300" t="s">
        <v>124</v>
      </c>
      <c r="F10" s="305" t="s">
        <v>123</v>
      </c>
      <c r="G10" s="311" t="s">
        <v>124</v>
      </c>
      <c r="H10" s="318" t="s">
        <v>123</v>
      </c>
      <c r="I10" s="337" t="s">
        <v>123</v>
      </c>
      <c r="K10" s="13" t="s">
        <v>3</v>
      </c>
    </row>
    <row r="11" spans="1:11" ht="18" customHeight="1" x14ac:dyDescent="0.25">
      <c r="A11" s="2"/>
      <c r="C11" s="63">
        <f>AVERAGE(C7:C10)</f>
        <v>6</v>
      </c>
      <c r="D11" s="28">
        <f t="shared" ref="D11:I11" si="3">COUNTA(D7:D10)-COUNTIF(D7:D10, "-")</f>
        <v>4</v>
      </c>
      <c r="E11" s="28">
        <f t="shared" si="3"/>
        <v>4</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0.77777777777777779</v>
      </c>
      <c r="C12" s="1" t="s">
        <v>1</v>
      </c>
      <c r="D12" s="29">
        <f>IF(D16=0,"-",(COUNTIF(D13:D15, "y")/D16)*OVERALL!$C$12)</f>
        <v>0.2</v>
      </c>
      <c r="E12" s="29">
        <f>IF(E16=0,"-",(COUNTIF(E13:E15, "y")/E16)*OVERALL!$C$12)</f>
        <v>0.2</v>
      </c>
      <c r="F12" s="29">
        <f>IF(F16=0,"-",(COUNTIF(F13:F15, "y")/F16)*OVERALL!$C$12)</f>
        <v>6.6666666666666666E-2</v>
      </c>
      <c r="G12" s="29">
        <f>IF(G16=0,"-",(COUNTIF(G13:G15, "y")/G16)*OVERALL!$C$12)</f>
        <v>0.13333333333333333</v>
      </c>
      <c r="H12" s="29">
        <f>IF(H16=0,"-",(COUNTIF(H13:H15, "y")/H16)*OVERALL!$C$12)</f>
        <v>0.13333333333333333</v>
      </c>
      <c r="I12" s="29">
        <f>IF(I16=0,"-",(COUNTIF(I13:I15, "y")/I16)*OVERALL!$C$12)</f>
        <v>0.2</v>
      </c>
      <c r="K12" t="s">
        <v>1</v>
      </c>
    </row>
    <row r="13" spans="1:11" ht="18" customHeight="1" x14ac:dyDescent="0.2">
      <c r="A13" s="34" t="str">
        <f>OVERALL!A13</f>
        <v>CONVERSE</v>
      </c>
      <c r="B13" s="3">
        <f>IF(C13=0,"-",COUNTIF(D13:I13,"y")/C13)</f>
        <v>0.5</v>
      </c>
      <c r="C13" s="27">
        <f>$C$2-COUNTIF(D13:I13, "-")</f>
        <v>6</v>
      </c>
      <c r="D13" s="330" t="s">
        <v>124</v>
      </c>
      <c r="E13" s="300" t="s">
        <v>124</v>
      </c>
      <c r="F13" s="305" t="s">
        <v>123</v>
      </c>
      <c r="G13" s="311" t="s">
        <v>123</v>
      </c>
      <c r="H13" s="318" t="s">
        <v>123</v>
      </c>
      <c r="I13" s="337" t="s">
        <v>124</v>
      </c>
      <c r="K13" s="14" t="s">
        <v>4</v>
      </c>
    </row>
    <row r="14" spans="1:11" ht="18" customHeight="1" x14ac:dyDescent="0.25">
      <c r="A14" s="34" t="str">
        <f>OVERALL!A14</f>
        <v>LISTEN</v>
      </c>
      <c r="B14" s="3">
        <f>IF(C14=0,"-",COUNTIF(D14:I14,"y")/C14)</f>
        <v>1</v>
      </c>
      <c r="C14" s="27">
        <f>$C$2-COUNTIF(D14:I14, "-")</f>
        <v>6</v>
      </c>
      <c r="D14" s="330" t="s">
        <v>124</v>
      </c>
      <c r="E14" s="300" t="s">
        <v>124</v>
      </c>
      <c r="F14" s="305" t="s">
        <v>124</v>
      </c>
      <c r="G14" s="311" t="s">
        <v>124</v>
      </c>
      <c r="H14" s="318" t="s">
        <v>124</v>
      </c>
      <c r="I14" s="337" t="s">
        <v>124</v>
      </c>
      <c r="K14" s="9" t="s">
        <v>13</v>
      </c>
    </row>
    <row r="15" spans="1:11" ht="18" customHeight="1" x14ac:dyDescent="0.2">
      <c r="A15" s="34" t="str">
        <f>OVERALL!A15</f>
        <v>CONFIRM</v>
      </c>
      <c r="B15" s="3">
        <f>IF(C15=0,"-",COUNTIF(D15:I15,"y")/C15)</f>
        <v>0.83333333333333337</v>
      </c>
      <c r="C15" s="27">
        <f>$C$2-COUNTIF(D15:I15, "-")</f>
        <v>6</v>
      </c>
      <c r="D15" s="330" t="s">
        <v>124</v>
      </c>
      <c r="E15" s="300" t="s">
        <v>124</v>
      </c>
      <c r="F15" s="305" t="s">
        <v>123</v>
      </c>
      <c r="G15" s="311" t="s">
        <v>124</v>
      </c>
      <c r="H15" s="318" t="s">
        <v>124</v>
      </c>
      <c r="I15" s="337" t="s">
        <v>124</v>
      </c>
      <c r="J15" t="s">
        <v>1</v>
      </c>
    </row>
    <row r="16" spans="1:11" ht="18" customHeight="1" x14ac:dyDescent="0.2">
      <c r="A16" s="2"/>
      <c r="C16" s="63">
        <f>AVERAGE(C13:C15)</f>
        <v>6</v>
      </c>
      <c r="D16" s="28">
        <f t="shared" ref="D16:I16" si="4">COUNTA(D13:D15)-COUNTIF(D13:D15, "-")</f>
        <v>3</v>
      </c>
      <c r="E16" s="28">
        <f t="shared" si="4"/>
        <v>3</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0.83333333333333326</v>
      </c>
      <c r="C17" s="1" t="s">
        <v>1</v>
      </c>
      <c r="D17" s="30">
        <f>IF(D22=0,"-",(COUNTIF(D18:D21, "y")/D22)*OVERALL!$C$17)</f>
        <v>0.1875</v>
      </c>
      <c r="E17" s="30">
        <f>IF(E22=0,"-",(COUNTIF(E18:E21, "y")/E22)*OVERALL!$C$17)</f>
        <v>0.25</v>
      </c>
      <c r="F17" s="30">
        <f>IF(F22=0,"-",(COUNTIF(F18:F21, "y")/F22)*OVERALL!$C$17)</f>
        <v>0.1875</v>
      </c>
      <c r="G17" s="30">
        <f>IF(G22=0,"-",(COUNTIF(G18:G21, "y")/G22)*OVERALL!$C$17)</f>
        <v>0.25</v>
      </c>
      <c r="H17" s="30">
        <f>IF(H22=0,"-",(COUNTIF(H18:H21, "y")/H22)*OVERALL!$C$17)</f>
        <v>0.1875</v>
      </c>
      <c r="I17" s="30">
        <f>IF(I22=0,"-",(COUNTIF(I18:I21, "y")/I22)*OVERALL!$C$17)</f>
        <v>0.1875</v>
      </c>
      <c r="K17" s="9" t="s">
        <v>6</v>
      </c>
    </row>
    <row r="18" spans="1:14" ht="18" customHeight="1" x14ac:dyDescent="0.2">
      <c r="A18" s="34" t="str">
        <f>OVERALL!A18</f>
        <v>INFORM</v>
      </c>
      <c r="B18" s="3">
        <f>IF(C18=0,"-",COUNTIF(D18:I18,"y")/C18)</f>
        <v>1</v>
      </c>
      <c r="C18" s="27">
        <f>$C$2-COUNTIF(D18:I18, "-")</f>
        <v>6</v>
      </c>
      <c r="D18" s="330" t="s">
        <v>124</v>
      </c>
      <c r="E18" s="300" t="s">
        <v>124</v>
      </c>
      <c r="F18" s="305" t="s">
        <v>124</v>
      </c>
      <c r="G18" s="311" t="s">
        <v>124</v>
      </c>
      <c r="H18" s="318" t="s">
        <v>124</v>
      </c>
      <c r="I18" s="337" t="s">
        <v>124</v>
      </c>
    </row>
    <row r="19" spans="1:14" ht="18" customHeight="1" x14ac:dyDescent="0.2">
      <c r="A19" s="34" t="str">
        <f>OVERALL!A19</f>
        <v>CHECK</v>
      </c>
      <c r="B19" s="3">
        <f>IF(C19=0,"-",COUNTIF(D19:I19,"y")/C19)</f>
        <v>0.33333333333333331</v>
      </c>
      <c r="C19" s="27">
        <f>$C$2-COUNTIF(D19:I19, "-")</f>
        <v>6</v>
      </c>
      <c r="D19" s="330" t="s">
        <v>123</v>
      </c>
      <c r="E19" s="300" t="s">
        <v>124</v>
      </c>
      <c r="F19" s="305" t="s">
        <v>123</v>
      </c>
      <c r="G19" s="311" t="s">
        <v>124</v>
      </c>
      <c r="H19" s="318" t="s">
        <v>123</v>
      </c>
      <c r="I19" s="337" t="s">
        <v>123</v>
      </c>
    </row>
    <row r="20" spans="1:14" ht="18" customHeight="1" x14ac:dyDescent="0.2">
      <c r="A20" s="34" t="str">
        <f>OVERALL!A20</f>
        <v>SEEK</v>
      </c>
      <c r="B20" s="3">
        <f>IF(C20=0,"-",COUNTIF(D20:I20,"y")/C20)</f>
        <v>1</v>
      </c>
      <c r="C20" s="27">
        <f>$C$2-COUNTIF(D20:I20, "-")</f>
        <v>6</v>
      </c>
      <c r="D20" s="330" t="s">
        <v>124</v>
      </c>
      <c r="E20" s="300" t="s">
        <v>124</v>
      </c>
      <c r="F20" s="305" t="s">
        <v>124</v>
      </c>
      <c r="G20" s="311" t="s">
        <v>124</v>
      </c>
      <c r="H20" s="318" t="s">
        <v>124</v>
      </c>
      <c r="I20" s="337" t="s">
        <v>124</v>
      </c>
      <c r="K20" t="s">
        <v>1</v>
      </c>
    </row>
    <row r="21" spans="1:14" ht="18" customHeight="1" x14ac:dyDescent="0.2">
      <c r="A21" s="34" t="str">
        <f>OVERALL!A21</f>
        <v>CONFIDENCE</v>
      </c>
      <c r="B21" s="3">
        <f>IF(C21=0,"-",COUNTIF(D21:I21,"y")/C21)</f>
        <v>1</v>
      </c>
      <c r="C21" s="27">
        <f>$C$2-COUNTIF(D21:I21, "-")</f>
        <v>6</v>
      </c>
      <c r="D21" s="330" t="s">
        <v>124</v>
      </c>
      <c r="E21" s="300" t="s">
        <v>124</v>
      </c>
      <c r="F21" s="305" t="s">
        <v>124</v>
      </c>
      <c r="G21" s="311" t="s">
        <v>124</v>
      </c>
      <c r="H21" s="318" t="s">
        <v>124</v>
      </c>
      <c r="I21" s="337" t="s">
        <v>124</v>
      </c>
    </row>
    <row r="22" spans="1:14" ht="18" customHeight="1" x14ac:dyDescent="0.2">
      <c r="A22" s="2"/>
      <c r="C22" s="63">
        <f>AVERAGE(C18:C21)</f>
        <v>6</v>
      </c>
      <c r="D22" s="28">
        <f t="shared" ref="D22:I22" si="5">COUNTA(D18:D21)-COUNTIF(D18:D21, "-")</f>
        <v>4</v>
      </c>
      <c r="E22" s="28">
        <f t="shared" si="5"/>
        <v>4</v>
      </c>
      <c r="F22" s="28">
        <f t="shared" si="5"/>
        <v>4</v>
      </c>
      <c r="G22" s="28">
        <f t="shared" si="5"/>
        <v>4</v>
      </c>
      <c r="H22" s="28">
        <f t="shared" si="5"/>
        <v>4</v>
      </c>
      <c r="I22" s="28">
        <f t="shared" si="5"/>
        <v>4</v>
      </c>
    </row>
    <row r="23" spans="1:14" ht="18" customHeight="1" x14ac:dyDescent="0.2">
      <c r="A23" s="20" t="str">
        <f>OVERALL!A23</f>
        <v>CLOSE</v>
      </c>
      <c r="B23" s="21">
        <f>IF(C27=0,"-",AVERAGE(B24:B26))</f>
        <v>0.72222222222222232</v>
      </c>
      <c r="C23" s="1" t="s">
        <v>1</v>
      </c>
      <c r="D23" s="30">
        <f>IF(D27=0,"-",(COUNTIF(D24:D26, "y")/D27)*OVERALL!$C$23)</f>
        <v>0.15</v>
      </c>
      <c r="E23" s="30">
        <f>IF(E27=0,"-",(COUNTIF(E24:E26, "y")/E27)*OVERALL!$C$23)</f>
        <v>9.9999999999999992E-2</v>
      </c>
      <c r="F23" s="30">
        <f>IF(F27=0,"-",(COUNTIF(F24:F26, "y")/F27)*OVERALL!$C$23)</f>
        <v>9.9999999999999992E-2</v>
      </c>
      <c r="G23" s="30">
        <f>IF(G27=0,"-",(COUNTIF(G24:G26, "y")/G27)*OVERALL!$C$23)</f>
        <v>9.9999999999999992E-2</v>
      </c>
      <c r="H23" s="30">
        <f>IF(H27=0,"-",(COUNTIF(H24:H26, "y")/H27)*OVERALL!$C$23)</f>
        <v>4.9999999999999996E-2</v>
      </c>
      <c r="I23" s="30">
        <f>IF(I27=0,"-",(COUNTIF(I24:I26, "y")/I27)*OVERALL!$C$23)</f>
        <v>0.15</v>
      </c>
    </row>
    <row r="24" spans="1:14" ht="18" customHeight="1" x14ac:dyDescent="0.2">
      <c r="A24" s="34" t="str">
        <f>OVERALL!A24</f>
        <v>QUESTIONS</v>
      </c>
      <c r="B24" s="3">
        <f>IF(C24=0,"-",COUNTIF(D24:I24,"y")/C24)</f>
        <v>0.83333333333333337</v>
      </c>
      <c r="C24" s="27">
        <f>$C$2-COUNTIF(D24:I24, "-")</f>
        <v>6</v>
      </c>
      <c r="D24" s="330" t="s">
        <v>124</v>
      </c>
      <c r="E24" s="300" t="s">
        <v>124</v>
      </c>
      <c r="F24" s="305" t="s">
        <v>124</v>
      </c>
      <c r="G24" s="311" t="s">
        <v>124</v>
      </c>
      <c r="H24" s="318" t="s">
        <v>123</v>
      </c>
      <c r="I24" s="337" t="s">
        <v>124</v>
      </c>
    </row>
    <row r="25" spans="1:14" ht="18" customHeight="1" x14ac:dyDescent="0.2">
      <c r="A25" s="34" t="str">
        <f>OVERALL!A25</f>
        <v>GRATITUDE</v>
      </c>
      <c r="B25" s="3">
        <f>IF(C25=0,"-",COUNTIF(D25:I25,"y")/C25)</f>
        <v>0.33333333333333331</v>
      </c>
      <c r="C25" s="27">
        <f>$C$2-COUNTIF(D25:I25, "-")</f>
        <v>6</v>
      </c>
      <c r="D25" s="330" t="s">
        <v>124</v>
      </c>
      <c r="E25" s="300" t="s">
        <v>123</v>
      </c>
      <c r="F25" s="305" t="s">
        <v>123</v>
      </c>
      <c r="G25" s="311" t="s">
        <v>123</v>
      </c>
      <c r="H25" s="318" t="s">
        <v>123</v>
      </c>
      <c r="I25" s="337" t="s">
        <v>124</v>
      </c>
    </row>
    <row r="26" spans="1:14" ht="18" customHeight="1" x14ac:dyDescent="0.2">
      <c r="A26" s="34" t="str">
        <f>OVERALL!A26</f>
        <v>THANKS</v>
      </c>
      <c r="B26" s="3">
        <f>IF(C26=0,"-",COUNTIF(D26:I26,"y")/C26)</f>
        <v>1</v>
      </c>
      <c r="C26" s="27">
        <f>$C$2-COUNTIF(D26:I26, "-")</f>
        <v>6</v>
      </c>
      <c r="D26" s="330" t="s">
        <v>124</v>
      </c>
      <c r="E26" s="300" t="s">
        <v>124</v>
      </c>
      <c r="F26" s="305" t="s">
        <v>124</v>
      </c>
      <c r="G26" s="311" t="s">
        <v>124</v>
      </c>
      <c r="H26" s="318" t="s">
        <v>124</v>
      </c>
      <c r="I26" s="337" t="s">
        <v>124</v>
      </c>
    </row>
    <row r="27" spans="1:14" ht="18" customHeight="1" x14ac:dyDescent="0.2">
      <c r="A27" s="2"/>
      <c r="C27" s="63">
        <f>AVERAGE(C24:C26)</f>
        <v>6</v>
      </c>
      <c r="D27" s="28">
        <f t="shared" ref="D27:I27" si="6">COUNTA(D24:D26)-COUNTIF(D24:D26, "-")</f>
        <v>3</v>
      </c>
      <c r="E27" s="28">
        <f t="shared" si="6"/>
        <v>3</v>
      </c>
      <c r="F27" s="28">
        <f t="shared" si="6"/>
        <v>3</v>
      </c>
      <c r="G27" s="28">
        <f t="shared" si="6"/>
        <v>3</v>
      </c>
      <c r="H27" s="28">
        <f t="shared" si="6"/>
        <v>3</v>
      </c>
      <c r="I27" s="28">
        <f t="shared" si="6"/>
        <v>3</v>
      </c>
    </row>
    <row r="28" spans="1:14" ht="18" customHeight="1" x14ac:dyDescent="0.2">
      <c r="A28" s="20" t="str">
        <f>OVERALL!A28</f>
        <v>IMPACT</v>
      </c>
      <c r="B28" s="21">
        <f>IF(C33=0,"-",AVERAGE(B29:B32))</f>
        <v>0.75</v>
      </c>
      <c r="C28" s="1" t="s">
        <v>1</v>
      </c>
      <c r="D28" s="30">
        <f>IF(D33=0,"-",(COUNTIF(D29:D32, "y")/D33)*OVERALL!$C$28)</f>
        <v>0.2</v>
      </c>
      <c r="E28" s="30">
        <f>IF(E33=0,"-",(COUNTIF(E29:E32, "y")/E33)*OVERALL!$C$28)</f>
        <v>0.05</v>
      </c>
      <c r="F28" s="30">
        <f>IF(F33=0,"-",(COUNTIF(F29:F32, "y")/F33)*OVERALL!$C$28)</f>
        <v>0.1</v>
      </c>
      <c r="G28" s="30">
        <f>IF(G33=0,"-",(COUNTIF(G29:G32, "y")/G33)*OVERALL!$C$28)</f>
        <v>0.2</v>
      </c>
      <c r="H28" s="30">
        <f>IF(H33=0,"-",(COUNTIF(H29:H32, "y")/H33)*OVERALL!$C$28)</f>
        <v>0.15000000000000002</v>
      </c>
      <c r="I28" s="30">
        <f>IF(I33=0,"-",(COUNTIF(I29:I32, "y")/I33)*OVERALL!$C$28)</f>
        <v>0.2</v>
      </c>
    </row>
    <row r="29" spans="1:14" ht="18" customHeight="1" x14ac:dyDescent="0.2">
      <c r="A29" s="34" t="str">
        <f>OVERALL!A29</f>
        <v>VIBRANCY</v>
      </c>
      <c r="B29" s="3">
        <f>IF(C29=0,"-",COUNTIF(D29:I29,"y")/C29)</f>
        <v>1</v>
      </c>
      <c r="C29" s="27">
        <f>$C$2-COUNTIF(D29:I29, "-")</f>
        <v>6</v>
      </c>
      <c r="D29" s="330" t="s">
        <v>124</v>
      </c>
      <c r="E29" s="300" t="s">
        <v>124</v>
      </c>
      <c r="F29" s="305" t="s">
        <v>124</v>
      </c>
      <c r="G29" s="311" t="s">
        <v>124</v>
      </c>
      <c r="H29" s="318" t="s">
        <v>124</v>
      </c>
      <c r="I29" s="337" t="s">
        <v>124</v>
      </c>
    </row>
    <row r="30" spans="1:14" ht="18" customHeight="1" x14ac:dyDescent="0.2">
      <c r="A30" s="34" t="str">
        <f>OVERALL!A30</f>
        <v>EMPATHY</v>
      </c>
      <c r="B30" s="3">
        <f>IF(C30=0,"-",COUNTIF(D30:I30,"y")/C30)</f>
        <v>0.5</v>
      </c>
      <c r="C30" s="27">
        <f>$C$2-COUNTIF(D30:I30, "-")</f>
        <v>6</v>
      </c>
      <c r="D30" s="330" t="s">
        <v>124</v>
      </c>
      <c r="E30" s="300" t="s">
        <v>123</v>
      </c>
      <c r="F30" s="305" t="s">
        <v>123</v>
      </c>
      <c r="G30" s="311" t="s">
        <v>124</v>
      </c>
      <c r="H30" s="318" t="s">
        <v>123</v>
      </c>
      <c r="I30" s="337" t="s">
        <v>124</v>
      </c>
    </row>
    <row r="31" spans="1:14" ht="18" customHeight="1" x14ac:dyDescent="0.2">
      <c r="A31" s="34" t="str">
        <f>OVERALL!A31</f>
        <v>CONTROL</v>
      </c>
      <c r="B31" s="3">
        <f>IF(C31=0,"-",COUNTIF(D31:I31,"y")/C31)</f>
        <v>0.66666666666666663</v>
      </c>
      <c r="C31" s="27">
        <f>$C$2-COUNTIF(D31:I31, "-")</f>
        <v>6</v>
      </c>
      <c r="D31" s="330" t="s">
        <v>124</v>
      </c>
      <c r="E31" s="300" t="s">
        <v>123</v>
      </c>
      <c r="F31" s="305" t="s">
        <v>123</v>
      </c>
      <c r="G31" s="311" t="s">
        <v>124</v>
      </c>
      <c r="H31" s="318" t="s">
        <v>124</v>
      </c>
      <c r="I31" s="337" t="s">
        <v>124</v>
      </c>
    </row>
    <row r="32" spans="1:14" ht="18" customHeight="1" x14ac:dyDescent="0.2">
      <c r="A32" s="34" t="str">
        <f>OVERALL!A32</f>
        <v>CLARITY</v>
      </c>
      <c r="B32" s="3">
        <f>IF(C32=0,"-",COUNTIF(D32:I32,"y")/C32)</f>
        <v>0.83333333333333337</v>
      </c>
      <c r="C32" s="27">
        <f>$C$2-COUNTIF(D32:I32, "-")</f>
        <v>6</v>
      </c>
      <c r="D32" s="330" t="s">
        <v>124</v>
      </c>
      <c r="E32" s="300" t="s">
        <v>123</v>
      </c>
      <c r="F32" s="305" t="s">
        <v>124</v>
      </c>
      <c r="G32" s="311" t="s">
        <v>124</v>
      </c>
      <c r="H32" s="318" t="s">
        <v>124</v>
      </c>
      <c r="I32" s="337" t="s">
        <v>124</v>
      </c>
      <c r="N32" t="s">
        <v>1</v>
      </c>
    </row>
    <row r="33" spans="1:16" ht="18" customHeight="1" x14ac:dyDescent="0.2">
      <c r="A33" s="5"/>
      <c r="B33" s="6"/>
      <c r="C33" s="63">
        <f>AVERAGE(C29:C32)</f>
        <v>6</v>
      </c>
      <c r="D33" s="28">
        <f t="shared" ref="D33:I33" si="7">COUNTA(D29:D32)-COUNTIF(D29:D32, "-")</f>
        <v>4</v>
      </c>
      <c r="E33" s="28">
        <f t="shared" si="7"/>
        <v>4</v>
      </c>
      <c r="F33" s="28">
        <f t="shared" si="7"/>
        <v>4</v>
      </c>
      <c r="G33" s="28">
        <f t="shared" si="7"/>
        <v>4</v>
      </c>
      <c r="H33" s="28">
        <f t="shared" si="7"/>
        <v>4</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6</v>
      </c>
      <c r="D35" s="330" t="s">
        <v>123</v>
      </c>
      <c r="E35" s="300" t="s">
        <v>123</v>
      </c>
      <c r="F35" s="305" t="s">
        <v>123</v>
      </c>
      <c r="G35" s="311" t="s">
        <v>123</v>
      </c>
      <c r="H35" s="318" t="s">
        <v>123</v>
      </c>
      <c r="I35" s="337" t="s">
        <v>123</v>
      </c>
      <c r="K35" s="48">
        <v>-0.3</v>
      </c>
      <c r="M35" s="48"/>
      <c r="N35" s="48"/>
      <c r="O35" s="48"/>
    </row>
    <row r="36" spans="1:16" ht="18" customHeight="1" x14ac:dyDescent="0.2">
      <c r="A36" s="45" t="str">
        <f>OVERALL!A36</f>
        <v>AUDIO ISSUE (DISTRACTION)</v>
      </c>
      <c r="B36" s="3">
        <f>IF(C36=0,"-",COUNTIF(D36:I36,"y")/C36)</f>
        <v>0</v>
      </c>
      <c r="C36" s="27">
        <f>$C$2-COUNTIF(D36:I36, "-")</f>
        <v>6</v>
      </c>
      <c r="D36" s="330" t="s">
        <v>123</v>
      </c>
      <c r="E36" s="300" t="s">
        <v>123</v>
      </c>
      <c r="F36" s="305" t="s">
        <v>123</v>
      </c>
      <c r="G36" s="311" t="s">
        <v>123</v>
      </c>
      <c r="H36" s="318" t="s">
        <v>123</v>
      </c>
      <c r="I36" s="337" t="s">
        <v>123</v>
      </c>
      <c r="K36" s="48">
        <v>-0.1</v>
      </c>
      <c r="M36" s="48"/>
      <c r="N36" s="48"/>
      <c r="O36" s="48"/>
    </row>
    <row r="37" spans="1:16" ht="18" customHeight="1" x14ac:dyDescent="0.2">
      <c r="A37" s="5"/>
      <c r="B37" s="6"/>
      <c r="C37" s="63">
        <f>C35</f>
        <v>6</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84" t="str">
        <f>OVERALL!A38</f>
        <v>ADDITIONAL INSIGHT</v>
      </c>
      <c r="B38" s="385"/>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6</v>
      </c>
      <c r="D39" s="330" t="s">
        <v>124</v>
      </c>
      <c r="E39" s="300" t="s">
        <v>124</v>
      </c>
      <c r="F39" s="305" t="s">
        <v>124</v>
      </c>
      <c r="G39" s="311" t="s">
        <v>124</v>
      </c>
      <c r="H39" s="318" t="s">
        <v>124</v>
      </c>
      <c r="I39" s="337" t="s">
        <v>124</v>
      </c>
    </row>
    <row r="40" spans="1:16" ht="18" customHeight="1" x14ac:dyDescent="0.2">
      <c r="A40" s="34" t="str">
        <f>OVERALL!A40</f>
        <v>TALK TIME</v>
      </c>
      <c r="B40" s="276">
        <f>IF(C40=0,"-",AVERAGE(D40:I40))</f>
        <v>6.8152006172839509E-3</v>
      </c>
      <c r="C40" s="27">
        <f t="shared" si="10"/>
        <v>6</v>
      </c>
      <c r="D40" s="275">
        <v>7.3032407407407404E-3</v>
      </c>
      <c r="E40" s="275">
        <v>8.2291666666666659E-3</v>
      </c>
      <c r="F40" s="275">
        <v>5.7060185185185183E-3</v>
      </c>
      <c r="G40" s="275">
        <v>6.3773148148148148E-3</v>
      </c>
      <c r="H40" s="275">
        <v>5.185185185185185E-3</v>
      </c>
      <c r="I40" s="275">
        <v>8.0902777777777778E-3</v>
      </c>
      <c r="J40" s="46"/>
      <c r="K40" s="274"/>
      <c r="L40" s="274"/>
      <c r="M40" s="274"/>
      <c r="N40" s="274"/>
      <c r="O40" s="274"/>
      <c r="P40" s="274"/>
    </row>
    <row r="41" spans="1:16" ht="18" customHeight="1" x14ac:dyDescent="0.2">
      <c r="A41" s="34" t="str">
        <f>OVERALL!A41</f>
        <v>ASSESSOR RATING (0-10)</v>
      </c>
      <c r="B41" s="22">
        <f>IF(C41=0,"-",SUM(D41:I41)/C41)</f>
        <v>6.666666666666667</v>
      </c>
      <c r="C41" s="27">
        <f t="shared" si="10"/>
        <v>6</v>
      </c>
      <c r="D41" s="266">
        <v>9</v>
      </c>
      <c r="E41" s="266">
        <v>7</v>
      </c>
      <c r="F41" s="266">
        <v>5</v>
      </c>
      <c r="G41" s="266">
        <v>7</v>
      </c>
      <c r="H41" s="266">
        <v>5</v>
      </c>
      <c r="I41" s="266">
        <v>7</v>
      </c>
    </row>
    <row r="42" spans="1:16" ht="18" customHeight="1" x14ac:dyDescent="0.2">
      <c r="A42" s="34" t="str">
        <f>OVERALL!A42</f>
        <v>EXPLAINED KEY FEATURES</v>
      </c>
      <c r="B42" s="3">
        <f>IF(C42=0,"-",COUNTIF(D42:I42, "y")/C42)</f>
        <v>1</v>
      </c>
      <c r="C42" s="27">
        <f t="shared" si="10"/>
        <v>6</v>
      </c>
      <c r="D42" s="330" t="s">
        <v>124</v>
      </c>
      <c r="E42" s="300" t="s">
        <v>124</v>
      </c>
      <c r="F42" s="305" t="s">
        <v>124</v>
      </c>
      <c r="G42" s="311" t="s">
        <v>124</v>
      </c>
      <c r="H42" s="318" t="s">
        <v>124</v>
      </c>
      <c r="I42" s="337" t="s">
        <v>124</v>
      </c>
      <c r="J42" s="47"/>
      <c r="K42" t="s">
        <v>1</v>
      </c>
    </row>
    <row r="43" spans="1:16" ht="18" customHeight="1" x14ac:dyDescent="0.2">
      <c r="A43" s="34" t="str">
        <f>OVERALL!A43</f>
        <v>REVEALED PRICING</v>
      </c>
      <c r="B43" s="3">
        <f>IF(C43=0,"-",COUNTIF(D43:I43, "y")/C43)</f>
        <v>1</v>
      </c>
      <c r="C43" s="27">
        <f t="shared" si="10"/>
        <v>6</v>
      </c>
      <c r="D43" s="330" t="s">
        <v>124</v>
      </c>
      <c r="E43" s="300" t="s">
        <v>124</v>
      </c>
      <c r="F43" s="305" t="s">
        <v>124</v>
      </c>
      <c r="G43" s="311" t="s">
        <v>124</v>
      </c>
      <c r="H43" s="318" t="s">
        <v>124</v>
      </c>
      <c r="I43" s="337" t="s">
        <v>124</v>
      </c>
    </row>
    <row r="44" spans="1:16" ht="18" customHeight="1" x14ac:dyDescent="0.2">
      <c r="A44" s="34" t="str">
        <f>OVERALL!A44</f>
        <v>EXPLAINED ACTIONS &amp; PROCESS</v>
      </c>
      <c r="B44" s="3">
        <f>IF(C44=0,"-",COUNTIF(D44:I44, "y")/C44)</f>
        <v>1</v>
      </c>
      <c r="C44" s="27">
        <f t="shared" si="10"/>
        <v>6</v>
      </c>
      <c r="D44" s="330" t="s">
        <v>124</v>
      </c>
      <c r="E44" s="300" t="s">
        <v>124</v>
      </c>
      <c r="F44" s="305" t="s">
        <v>124</v>
      </c>
      <c r="G44" s="311" t="s">
        <v>124</v>
      </c>
      <c r="H44" s="318" t="s">
        <v>124</v>
      </c>
      <c r="I44" s="337" t="s">
        <v>124</v>
      </c>
    </row>
    <row r="45" spans="1:16" ht="18" customHeight="1" x14ac:dyDescent="0.2">
      <c r="A45" s="34" t="str">
        <f>OVERALL!A45</f>
        <v>WEBSITE EDUCATION</v>
      </c>
      <c r="B45" s="3">
        <f>IF(C45=0,"-",COUNTIF(D45:I45, "y")/C45)</f>
        <v>0.5</v>
      </c>
      <c r="C45" s="27">
        <f t="shared" si="10"/>
        <v>6</v>
      </c>
      <c r="D45" s="330" t="s">
        <v>124</v>
      </c>
      <c r="E45" s="300" t="s">
        <v>123</v>
      </c>
      <c r="F45" s="305" t="s">
        <v>123</v>
      </c>
      <c r="G45" s="311" t="s">
        <v>124</v>
      </c>
      <c r="H45" s="318" t="s">
        <v>124</v>
      </c>
      <c r="I45" s="337" t="s">
        <v>123</v>
      </c>
    </row>
    <row r="46" spans="1:16" ht="18" customHeight="1" x14ac:dyDescent="0.2">
      <c r="A46" s="18"/>
      <c r="B46" s="3"/>
      <c r="C46" s="27"/>
      <c r="D46" s="268"/>
      <c r="E46" s="268"/>
      <c r="F46" s="268"/>
      <c r="G46" s="268"/>
      <c r="H46" s="268"/>
      <c r="I46" s="268"/>
    </row>
    <row r="47" spans="1:16" ht="210" x14ac:dyDescent="0.2">
      <c r="A47" s="26" t="s">
        <v>1</v>
      </c>
      <c r="B47" s="386" t="s">
        <v>35</v>
      </c>
      <c r="C47" s="387"/>
      <c r="D47" s="24" t="s">
        <v>173</v>
      </c>
      <c r="E47" s="24" t="s">
        <v>196</v>
      </c>
      <c r="F47" s="24" t="s">
        <v>132</v>
      </c>
      <c r="G47" s="24" t="s">
        <v>143</v>
      </c>
      <c r="H47" s="24" t="s">
        <v>162</v>
      </c>
      <c r="I47" s="24" t="s">
        <v>188</v>
      </c>
    </row>
    <row r="48" spans="1:16" ht="18" customHeight="1" x14ac:dyDescent="0.2">
      <c r="A48" s="59" t="s">
        <v>47</v>
      </c>
      <c r="D48" s="50">
        <f t="shared" ref="D48:I48" si="11">IF(D$2="","",IF(D$39="n", "", SUM(D$6,D$12,D$17,D$23,D$28,D$34)))</f>
        <v>0.9375</v>
      </c>
      <c r="E48" s="50">
        <f t="shared" si="11"/>
        <v>0.75000000000000011</v>
      </c>
      <c r="F48" s="50">
        <f t="shared" si="11"/>
        <v>0.50416666666666665</v>
      </c>
      <c r="G48" s="50">
        <f t="shared" si="11"/>
        <v>0.78333333333333344</v>
      </c>
      <c r="H48" s="50">
        <f t="shared" si="11"/>
        <v>0.5708333333333333</v>
      </c>
      <c r="I48" s="50">
        <f t="shared" si="11"/>
        <v>0.78750000000000009</v>
      </c>
    </row>
    <row r="50" spans="1:9" ht="19" x14ac:dyDescent="0.25">
      <c r="A50" s="110" t="s">
        <v>74</v>
      </c>
      <c r="B50" s="90" t="s">
        <v>75</v>
      </c>
    </row>
    <row r="51" spans="1:9" x14ac:dyDescent="0.2">
      <c r="A51" s="111" t="s">
        <v>63</v>
      </c>
      <c r="B51" s="112">
        <v>0.3</v>
      </c>
      <c r="C51" s="111"/>
      <c r="D51" s="256">
        <f>[1]ANZ!D$4</f>
        <v>0.76374999999999993</v>
      </c>
      <c r="E51" s="256">
        <f>[1]ANZ!E$4</f>
        <v>0.6283333333333333</v>
      </c>
      <c r="F51" s="256">
        <f>[1]ANZ!F$4</f>
        <v>0.66999999999999993</v>
      </c>
      <c r="G51" s="256">
        <f>[1]ANZ!G$4</f>
        <v>0.55392857142857144</v>
      </c>
      <c r="H51" s="256">
        <f>[1]ANZ!H$4</f>
        <v>0.64916666666666667</v>
      </c>
      <c r="I51" s="256">
        <f>[1]ANZ!I$4</f>
        <v>0.53517857142857139</v>
      </c>
    </row>
    <row r="52" spans="1:9" x14ac:dyDescent="0.2">
      <c r="A52" s="111" t="s">
        <v>64</v>
      </c>
      <c r="B52" s="112">
        <v>0.7</v>
      </c>
      <c r="C52" s="111"/>
      <c r="D52" s="257">
        <f t="shared" ref="D52:I52" si="12">D4</f>
        <v>0.9375</v>
      </c>
      <c r="E52" s="257">
        <f t="shared" si="12"/>
        <v>0.75000000000000011</v>
      </c>
      <c r="F52" s="257">
        <f t="shared" si="12"/>
        <v>0.50416666666666665</v>
      </c>
      <c r="G52" s="257">
        <f t="shared" si="12"/>
        <v>0.78333333333333344</v>
      </c>
      <c r="H52" s="257">
        <f t="shared" si="12"/>
        <v>0.5708333333333333</v>
      </c>
      <c r="I52" s="257">
        <f t="shared" si="12"/>
        <v>0.78750000000000009</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0.22912499999999997</v>
      </c>
      <c r="E55" s="257">
        <f t="shared" ref="E55:I55" si="13">IF(E51="-","-",E51*$B$51)</f>
        <v>0.18849999999999997</v>
      </c>
      <c r="F55" s="257">
        <f t="shared" si="13"/>
        <v>0.20099999999999998</v>
      </c>
      <c r="G55" s="257">
        <f t="shared" si="13"/>
        <v>0.16617857142857143</v>
      </c>
      <c r="H55" s="257">
        <f t="shared" si="13"/>
        <v>0.19475000000000001</v>
      </c>
      <c r="I55" s="257">
        <f t="shared" si="13"/>
        <v>0.16055357142857141</v>
      </c>
    </row>
    <row r="56" spans="1:9" x14ac:dyDescent="0.2">
      <c r="A56" s="111" t="s">
        <v>64</v>
      </c>
      <c r="B56" s="111"/>
      <c r="C56" s="111"/>
      <c r="D56" s="257">
        <f t="shared" ref="D56:I56" si="14">IF(D52="-","-",D52*$B$52)</f>
        <v>0.65625</v>
      </c>
      <c r="E56" s="257">
        <f t="shared" si="14"/>
        <v>0.52500000000000002</v>
      </c>
      <c r="F56" s="257">
        <f t="shared" si="14"/>
        <v>0.35291666666666666</v>
      </c>
      <c r="G56" s="257">
        <f t="shared" si="14"/>
        <v>0.54833333333333334</v>
      </c>
      <c r="H56" s="257">
        <f t="shared" si="14"/>
        <v>0.39958333333333329</v>
      </c>
      <c r="I56" s="257">
        <f t="shared" si="14"/>
        <v>0.55125000000000002</v>
      </c>
    </row>
    <row r="57" spans="1:9" x14ac:dyDescent="0.2">
      <c r="A57" s="114" t="s">
        <v>59</v>
      </c>
      <c r="B57" s="114"/>
      <c r="C57" s="114"/>
      <c r="D57" s="115">
        <f t="shared" ref="D57:I57" si="15">IF(D51="","",IF(D52="","",SUM(D55:D56)))</f>
        <v>0.88537500000000002</v>
      </c>
      <c r="E57" s="115">
        <f t="shared" si="15"/>
        <v>0.71350000000000002</v>
      </c>
      <c r="F57" s="115">
        <f t="shared" si="15"/>
        <v>0.55391666666666661</v>
      </c>
      <c r="G57" s="115">
        <f t="shared" si="15"/>
        <v>0.71451190476190474</v>
      </c>
      <c r="H57" s="115">
        <f t="shared" si="15"/>
        <v>0.59433333333333327</v>
      </c>
      <c r="I57" s="115">
        <f t="shared" si="15"/>
        <v>0.71180357142857142</v>
      </c>
    </row>
  </sheetData>
  <mergeCells count="2">
    <mergeCell ref="A38:B38"/>
    <mergeCell ref="B47:C47"/>
  </mergeCells>
  <conditionalFormatting sqref="B4">
    <cfRule type="containsBlanks" dxfId="152" priority="6">
      <formula>LEN(TRIM(B4))=0</formula>
    </cfRule>
    <cfRule type="cellIs" dxfId="151" priority="7" operator="greaterThanOrEqual">
      <formula>0.905</formula>
    </cfRule>
    <cfRule type="cellIs" dxfId="150" priority="8" operator="between">
      <formula>0.754999</formula>
      <formula>0.905</formula>
    </cfRule>
    <cfRule type="cellIs" dxfId="149" priority="9" operator="between">
      <formula>0.604999</formula>
      <formula>0.754999</formula>
    </cfRule>
    <cfRule type="cellIs" dxfId="148" priority="10" operator="between">
      <formula>0.44999</formula>
      <formula>0.605</formula>
    </cfRule>
    <cfRule type="cellIs" dxfId="147" priority="11" operator="lessThan">
      <formula>0.45</formula>
    </cfRule>
  </conditionalFormatting>
  <conditionalFormatting sqref="B6">
    <cfRule type="containsText" dxfId="146" priority="5" operator="containsText" text="NA">
      <formula>NOT(ISERROR(SEARCH("NA",B6)))</formula>
    </cfRule>
  </conditionalFormatting>
  <conditionalFormatting sqref="B12">
    <cfRule type="containsText" dxfId="145" priority="4" operator="containsText" text="NA">
      <formula>NOT(ISERROR(SEARCH("NA",B12)))</formula>
    </cfRule>
  </conditionalFormatting>
  <conditionalFormatting sqref="B17">
    <cfRule type="containsText" dxfId="144" priority="3" operator="containsText" text="NA">
      <formula>NOT(ISERROR(SEARCH("NA",B17)))</formula>
    </cfRule>
  </conditionalFormatting>
  <conditionalFormatting sqref="B23">
    <cfRule type="containsText" dxfId="143" priority="2" operator="containsText" text="NA">
      <formula>NOT(ISERROR(SEARCH("NA",B23)))</formula>
    </cfRule>
  </conditionalFormatting>
  <conditionalFormatting sqref="B28">
    <cfRule type="containsText" dxfId="142" priority="1" operator="containsText" text="NA">
      <formula>NOT(ISERROR(SEARCH("NA",B28)))</formula>
    </cfRule>
  </conditionalFormatting>
  <conditionalFormatting sqref="D4:I4">
    <cfRule type="containsBlanks" dxfId="141" priority="12">
      <formula>LEN(TRIM(D4))=0</formula>
    </cfRule>
    <cfRule type="cellIs" dxfId="140" priority="13" operator="greaterThanOrEqual">
      <formula>0.905</formula>
    </cfRule>
    <cfRule type="cellIs" dxfId="139" priority="14" operator="between">
      <formula>0.754999</formula>
      <formula>0.905</formula>
    </cfRule>
    <cfRule type="cellIs" dxfId="138" priority="15" operator="between">
      <formula>0.604999</formula>
      <formula>0.754999</formula>
    </cfRule>
    <cfRule type="cellIs" dxfId="137" priority="16" operator="between">
      <formula>0.44999</formula>
      <formula>0.605</formula>
    </cfRule>
    <cfRule type="cellIs" dxfId="136"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O57"/>
  <sheetViews>
    <sheetView zoomScale="80" zoomScaleNormal="80" workbookViewId="0">
      <pane xSplit="3" ySplit="6" topLeftCell="D7" activePane="bottomRight" state="frozen"/>
      <selection activeCell="F39" sqref="F39:F47"/>
      <selection pane="topRight" activeCell="F39" sqref="F39:F47"/>
      <selection pane="bottomLeft" activeCell="F39" sqref="F39:F47"/>
      <selection pane="bottomRight" activeCell="B4" sqref="B4"/>
    </sheetView>
  </sheetViews>
  <sheetFormatPr baseColWidth="10" defaultColWidth="11.5" defaultRowHeight="16" x14ac:dyDescent="0.2"/>
  <cols>
    <col min="1" max="1" width="32.83203125" customWidth="1"/>
    <col min="3" max="3" width="8.5" customWidth="1"/>
    <col min="4" max="8" width="22.83203125" customWidth="1"/>
    <col min="9" max="9" width="8.1640625" customWidth="1"/>
    <col min="10" max="10" width="28" bestFit="1" customWidth="1"/>
  </cols>
  <sheetData>
    <row r="1" spans="1:10" ht="26" x14ac:dyDescent="0.2">
      <c r="A1" s="23" t="s">
        <v>5</v>
      </c>
      <c r="B1" s="16"/>
      <c r="C1" s="35" t="s">
        <v>108</v>
      </c>
      <c r="D1" s="25">
        <v>1</v>
      </c>
      <c r="E1" s="25">
        <v>2</v>
      </c>
      <c r="F1" s="25">
        <v>3</v>
      </c>
      <c r="G1" s="25">
        <v>4</v>
      </c>
      <c r="H1" s="25">
        <v>5</v>
      </c>
    </row>
    <row r="2" spans="1:10" ht="21" x14ac:dyDescent="0.2">
      <c r="A2" s="19" t="str">
        <f>OVERALL!A2</f>
        <v>BANKS</v>
      </c>
      <c r="B2" s="32" t="s">
        <v>59</v>
      </c>
      <c r="C2" s="35">
        <f>COUNTA(D7:H7)</f>
        <v>5</v>
      </c>
      <c r="D2" s="331" t="s">
        <v>174</v>
      </c>
      <c r="E2" s="301" t="s">
        <v>127</v>
      </c>
      <c r="F2" s="306" t="s">
        <v>133</v>
      </c>
      <c r="G2" s="312" t="s">
        <v>144</v>
      </c>
      <c r="H2" s="319" t="s">
        <v>163</v>
      </c>
    </row>
    <row r="3" spans="1:10" ht="19" x14ac:dyDescent="0.2">
      <c r="A3" s="33" t="str">
        <f>OVERALL!J1</f>
        <v>BANK AUSTRALIA</v>
      </c>
      <c r="B3" s="248">
        <f>OVERALL!J3</f>
        <v>0.513797619047619</v>
      </c>
      <c r="C3" s="108" t="s">
        <v>73</v>
      </c>
      <c r="D3" s="109">
        <f>IF(D2="-","-",D57)</f>
        <v>0.52204166666666663</v>
      </c>
      <c r="E3" s="109">
        <f t="shared" ref="E3:H3" si="0">IF(E2="-","-",E57)</f>
        <v>0.27597023809523807</v>
      </c>
      <c r="F3" s="109">
        <f t="shared" si="0"/>
        <v>0.70058333333333334</v>
      </c>
      <c r="G3" s="109">
        <f t="shared" si="0"/>
        <v>0.64085119047619055</v>
      </c>
      <c r="H3" s="109">
        <f t="shared" si="0"/>
        <v>0.4295416666666666</v>
      </c>
    </row>
    <row r="4" spans="1:10" ht="18" customHeight="1" x14ac:dyDescent="0.2">
      <c r="A4" s="17" t="str">
        <f>OVERALL!A4</f>
        <v>QUALITY SCORE</v>
      </c>
      <c r="B4" s="38">
        <f>IF(C2=0, "-", IF(COUNTIF(D39:H39, "n")=C2, "-", IF(COUNT(D4:H4)=0, "-", AVERAGE(D4:H4))))</f>
        <v>0.51083333333333325</v>
      </c>
      <c r="C4" s="58" t="s">
        <v>1</v>
      </c>
      <c r="D4" s="38">
        <f>IF(D48&lt;0%,0%,IF(D$2="-","-",IF(D$39="n", "-", SUM(D$6,D$12,D$17,D$23,D$28,D$34))))</f>
        <v>0.44166666666666665</v>
      </c>
      <c r="E4" s="38">
        <f t="shared" ref="E4:H4" si="1">IF(E48&lt;0%,0%,IF(E$2="-","-",IF(E$39="n", "-", SUM(E$6,E$12,E$17,E$23,E$28,E$34))))</f>
        <v>0.37916666666666665</v>
      </c>
      <c r="F4" s="38">
        <f t="shared" si="1"/>
        <v>0.68333333333333335</v>
      </c>
      <c r="G4" s="38">
        <f t="shared" si="1"/>
        <v>0.67083333333333339</v>
      </c>
      <c r="H4" s="38">
        <f t="shared" si="1"/>
        <v>0.37916666666666665</v>
      </c>
      <c r="J4" s="12" t="s">
        <v>8</v>
      </c>
    </row>
    <row r="5" spans="1:10" ht="18" customHeight="1" x14ac:dyDescent="0.25">
      <c r="A5" s="57" t="s">
        <v>48</v>
      </c>
      <c r="B5" s="58">
        <f>IF(B6="-","-",AVERAGE(D5:H5))</f>
        <v>0.51083333333333325</v>
      </c>
      <c r="C5" s="58" t="s">
        <v>1</v>
      </c>
      <c r="D5" s="60">
        <f t="shared" ref="D5:H5" si="2">IF(D$2="","",IF(D$39="n", "", SUM(D$6,D$12,D$17,D$23,D$28)))</f>
        <v>0.44166666666666665</v>
      </c>
      <c r="E5" s="60">
        <f t="shared" si="2"/>
        <v>0.37916666666666665</v>
      </c>
      <c r="F5" s="60">
        <f t="shared" si="2"/>
        <v>0.68333333333333335</v>
      </c>
      <c r="G5" s="60">
        <f t="shared" si="2"/>
        <v>0.67083333333333339</v>
      </c>
      <c r="H5" s="60">
        <f t="shared" si="2"/>
        <v>0.37916666666666665</v>
      </c>
      <c r="J5" s="7" t="s">
        <v>16</v>
      </c>
    </row>
    <row r="6" spans="1:10" ht="18" customHeight="1" x14ac:dyDescent="0.2">
      <c r="A6" s="20" t="str">
        <f>OVERALL!A6</f>
        <v>ENGAGE</v>
      </c>
      <c r="B6" s="21">
        <f>IF(C11=0,"-",AVERAGE(B7:B10))</f>
        <v>0.2</v>
      </c>
      <c r="C6" s="61" t="s">
        <v>0</v>
      </c>
      <c r="D6" s="29">
        <f>IF(D11=0,"-",(COUNTIF(D7:D10, "y")/D11)*OVERALL!$C$6)</f>
        <v>0</v>
      </c>
      <c r="E6" s="29">
        <f>IF(E11=0,"-",(COUNTIF(E7:E10, "y")/E11)*OVERALL!$C$6)</f>
        <v>0.05</v>
      </c>
      <c r="F6" s="29">
        <f>IF(F11=0,"-",(COUNTIF(F7:F10, "y")/F11)*OVERALL!$C$6)</f>
        <v>0.05</v>
      </c>
      <c r="G6" s="29">
        <f>IF(G11=0,"-",(COUNTIF(G7:G10, "y")/G11)*OVERALL!$C$6)</f>
        <v>0.05</v>
      </c>
      <c r="H6" s="29">
        <f>IF(H11=0,"-",(COUNTIF(H7:H10, "y")/H11)*OVERALL!$C$6)</f>
        <v>0.05</v>
      </c>
    </row>
    <row r="7" spans="1:10" ht="18" customHeight="1" x14ac:dyDescent="0.2">
      <c r="A7" s="34" t="str">
        <f>OVERALL!A7</f>
        <v>WELCOME</v>
      </c>
      <c r="B7" s="3">
        <f>IF(C7=0,"-",COUNTIF(D7:H7,"y")/C7)</f>
        <v>0.6</v>
      </c>
      <c r="C7" s="27">
        <f>$C$2-COUNTIF(D7:H7, "-")</f>
        <v>5</v>
      </c>
      <c r="D7" s="330" t="s">
        <v>123</v>
      </c>
      <c r="E7" s="300" t="s">
        <v>124</v>
      </c>
      <c r="F7" s="305" t="s">
        <v>124</v>
      </c>
      <c r="G7" s="311" t="s">
        <v>124</v>
      </c>
      <c r="H7" s="318" t="s">
        <v>123</v>
      </c>
      <c r="J7" s="11" t="s">
        <v>2</v>
      </c>
    </row>
    <row r="8" spans="1:10" ht="18" customHeight="1" x14ac:dyDescent="0.25">
      <c r="A8" s="34" t="str">
        <f>OVERALL!A8</f>
        <v>INTENT</v>
      </c>
      <c r="B8" s="3">
        <f>IF(C8=0,"-",COUNTIF(D8:H8,"y")/C8)</f>
        <v>0.2</v>
      </c>
      <c r="C8" s="27">
        <f>$C$2-COUNTIF(D8:H8, "-")</f>
        <v>5</v>
      </c>
      <c r="D8" s="330" t="s">
        <v>123</v>
      </c>
      <c r="E8" s="300" t="s">
        <v>123</v>
      </c>
      <c r="F8" s="305" t="s">
        <v>123</v>
      </c>
      <c r="G8" s="311" t="s">
        <v>123</v>
      </c>
      <c r="H8" s="318" t="s">
        <v>124</v>
      </c>
      <c r="J8" s="7" t="s">
        <v>15</v>
      </c>
    </row>
    <row r="9" spans="1:10" ht="18" customHeight="1" x14ac:dyDescent="0.2">
      <c r="A9" s="34" t="str">
        <f>OVERALL!A9</f>
        <v>NAME</v>
      </c>
      <c r="B9" s="3">
        <f>IF(C9=0,"-",COUNTIF(D9:H9,"y")/C9)</f>
        <v>0</v>
      </c>
      <c r="C9" s="27">
        <f>$C$2-COUNTIF(D9:H9, "-")</f>
        <v>5</v>
      </c>
      <c r="D9" s="330" t="s">
        <v>123</v>
      </c>
      <c r="E9" s="300" t="s">
        <v>123</v>
      </c>
      <c r="F9" s="305" t="s">
        <v>123</v>
      </c>
      <c r="G9" s="311" t="s">
        <v>123</v>
      </c>
      <c r="H9" s="318" t="s">
        <v>123</v>
      </c>
      <c r="I9" s="296" t="s">
        <v>1</v>
      </c>
      <c r="J9" t="s">
        <v>1</v>
      </c>
    </row>
    <row r="10" spans="1:10" ht="18" customHeight="1" x14ac:dyDescent="0.2">
      <c r="A10" s="34" t="str">
        <f>OVERALL!A10</f>
        <v>BRIDGE</v>
      </c>
      <c r="B10" s="3">
        <f>IF(C10=0,"-",COUNTIF(D10:H10,"y")/C10)</f>
        <v>0</v>
      </c>
      <c r="C10" s="27">
        <f>$C$2-COUNTIF(D10:H10, "-")</f>
        <v>5</v>
      </c>
      <c r="D10" s="330" t="s">
        <v>123</v>
      </c>
      <c r="E10" s="300" t="s">
        <v>123</v>
      </c>
      <c r="F10" s="305" t="s">
        <v>123</v>
      </c>
      <c r="G10" s="311" t="s">
        <v>123</v>
      </c>
      <c r="H10" s="318" t="s">
        <v>123</v>
      </c>
      <c r="J10" s="13" t="s">
        <v>3</v>
      </c>
    </row>
    <row r="11" spans="1:10" ht="18" customHeight="1" x14ac:dyDescent="0.25">
      <c r="A11" s="2"/>
      <c r="C11" s="63">
        <f>AVERAGE(C7:C10)</f>
        <v>5</v>
      </c>
      <c r="D11" s="28">
        <f t="shared" ref="D11:H11" si="3">COUNTA(D7:D10)-COUNTIF(D7:D10, "-")</f>
        <v>4</v>
      </c>
      <c r="E11" s="28">
        <f t="shared" si="3"/>
        <v>4</v>
      </c>
      <c r="F11" s="28">
        <f t="shared" si="3"/>
        <v>4</v>
      </c>
      <c r="G11" s="28">
        <f t="shared" si="3"/>
        <v>4</v>
      </c>
      <c r="H11" s="28">
        <f t="shared" si="3"/>
        <v>4</v>
      </c>
      <c r="J11" s="8" t="s">
        <v>14</v>
      </c>
    </row>
    <row r="12" spans="1:10" ht="18" customHeight="1" x14ac:dyDescent="0.2">
      <c r="A12" s="20" t="str">
        <f>OVERALL!A12</f>
        <v>DISCOVER</v>
      </c>
      <c r="B12" s="21">
        <f>IF(C16=0,"-",AVERAGE(B13:B15))</f>
        <v>0.46666666666666662</v>
      </c>
      <c r="C12" s="1" t="s">
        <v>1</v>
      </c>
      <c r="D12" s="29">
        <f>IF(D16=0,"-",(COUNTIF(D13:D15, "y")/D16)*OVERALL!$C$12)</f>
        <v>6.6666666666666666E-2</v>
      </c>
      <c r="E12" s="29">
        <f>IF(E16=0,"-",(COUNTIF(E13:E15, "y")/E16)*OVERALL!$C$12)</f>
        <v>6.6666666666666666E-2</v>
      </c>
      <c r="F12" s="29">
        <f>IF(F16=0,"-",(COUNTIF(F13:F15, "y")/F16)*OVERALL!$C$12)</f>
        <v>0.13333333333333333</v>
      </c>
      <c r="G12" s="29">
        <f>IF(G16=0,"-",(COUNTIF(G13:G15, "y")/G16)*OVERALL!$C$12)</f>
        <v>0.13333333333333333</v>
      </c>
      <c r="H12" s="29">
        <f>IF(H16=0,"-",(COUNTIF(H13:H15, "y")/H16)*OVERALL!$C$12)</f>
        <v>6.6666666666666666E-2</v>
      </c>
      <c r="J12" t="s">
        <v>1</v>
      </c>
    </row>
    <row r="13" spans="1:10" ht="18" customHeight="1" x14ac:dyDescent="0.2">
      <c r="A13" s="34" t="str">
        <f>OVERALL!A13</f>
        <v>CONVERSE</v>
      </c>
      <c r="B13" s="3">
        <f>IF(C13=0,"-",COUNTIF(D13:H13,"y")/C13)</f>
        <v>0</v>
      </c>
      <c r="C13" s="27">
        <f>$C$2-COUNTIF(D13:H13, "-")</f>
        <v>5</v>
      </c>
      <c r="D13" s="330" t="s">
        <v>123</v>
      </c>
      <c r="E13" s="300" t="s">
        <v>123</v>
      </c>
      <c r="F13" s="305" t="s">
        <v>123</v>
      </c>
      <c r="G13" s="311" t="s">
        <v>123</v>
      </c>
      <c r="H13" s="318" t="s">
        <v>123</v>
      </c>
      <c r="J13" s="14" t="s">
        <v>4</v>
      </c>
    </row>
    <row r="14" spans="1:10" ht="18" customHeight="1" x14ac:dyDescent="0.25">
      <c r="A14" s="34" t="str">
        <f>OVERALL!A14</f>
        <v>LISTEN</v>
      </c>
      <c r="B14" s="3">
        <f>IF(C14=0,"-",COUNTIF(D14:H14,"y")/C14)</f>
        <v>1</v>
      </c>
      <c r="C14" s="27">
        <f>$C$2-COUNTIF(D14:H14, "-")</f>
        <v>5</v>
      </c>
      <c r="D14" s="330" t="s">
        <v>124</v>
      </c>
      <c r="E14" s="300" t="s">
        <v>124</v>
      </c>
      <c r="F14" s="305" t="s">
        <v>124</v>
      </c>
      <c r="G14" s="311" t="s">
        <v>124</v>
      </c>
      <c r="H14" s="318" t="s">
        <v>124</v>
      </c>
      <c r="J14" s="9" t="s">
        <v>13</v>
      </c>
    </row>
    <row r="15" spans="1:10" ht="18" customHeight="1" x14ac:dyDescent="0.2">
      <c r="A15" s="34" t="str">
        <f>OVERALL!A15</f>
        <v>CONFIRM</v>
      </c>
      <c r="B15" s="3">
        <f>IF(C15=0,"-",COUNTIF(D15:H15,"y")/C15)</f>
        <v>0.4</v>
      </c>
      <c r="C15" s="27">
        <f>$C$2-COUNTIF(D15:H15, "-")</f>
        <v>5</v>
      </c>
      <c r="D15" s="330" t="s">
        <v>123</v>
      </c>
      <c r="E15" s="300" t="s">
        <v>123</v>
      </c>
      <c r="F15" s="305" t="s">
        <v>124</v>
      </c>
      <c r="G15" s="311" t="s">
        <v>124</v>
      </c>
      <c r="H15" s="318" t="s">
        <v>123</v>
      </c>
      <c r="I15" t="s">
        <v>1</v>
      </c>
    </row>
    <row r="16" spans="1:10" ht="18" customHeight="1" x14ac:dyDescent="0.2">
      <c r="A16" s="2"/>
      <c r="C16" s="63">
        <f>AVERAGE(C13:C15)</f>
        <v>5</v>
      </c>
      <c r="D16" s="28">
        <f t="shared" ref="D16:H16" si="4">COUNTA(D13:D15)-COUNTIF(D13:D15, "-")</f>
        <v>3</v>
      </c>
      <c r="E16" s="28">
        <f t="shared" si="4"/>
        <v>3</v>
      </c>
      <c r="F16" s="28">
        <f t="shared" si="4"/>
        <v>3</v>
      </c>
      <c r="G16" s="28">
        <f t="shared" si="4"/>
        <v>3</v>
      </c>
      <c r="H16" s="28">
        <f t="shared" si="4"/>
        <v>3</v>
      </c>
      <c r="J16" s="15" t="s">
        <v>7</v>
      </c>
    </row>
    <row r="17" spans="1:13" ht="18" customHeight="1" x14ac:dyDescent="0.25">
      <c r="A17" s="20" t="str">
        <f>OVERALL!A17</f>
        <v>EDUCATE</v>
      </c>
      <c r="B17" s="21">
        <f>IF(C22=0,"-",AVERAGE(B18:B21))</f>
        <v>0.55000000000000004</v>
      </c>
      <c r="C17" s="1" t="s">
        <v>1</v>
      </c>
      <c r="D17" s="30">
        <f>IF(D22=0,"-",(COUNTIF(D18:D21, "y")/D22)*OVERALL!$C$17)</f>
        <v>0.125</v>
      </c>
      <c r="E17" s="30">
        <f>IF(E22=0,"-",(COUNTIF(E18:E21, "y")/E22)*OVERALL!$C$17)</f>
        <v>6.25E-2</v>
      </c>
      <c r="F17" s="30">
        <f>IF(F22=0,"-",(COUNTIF(F18:F21, "y")/F22)*OVERALL!$C$17)</f>
        <v>0.25</v>
      </c>
      <c r="G17" s="30">
        <f>IF(G22=0,"-",(COUNTIF(G18:G21, "y")/G22)*OVERALL!$C$17)</f>
        <v>0.1875</v>
      </c>
      <c r="H17" s="30">
        <f>IF(H22=0,"-",(COUNTIF(H18:H21, "y")/H22)*OVERALL!$C$17)</f>
        <v>6.25E-2</v>
      </c>
      <c r="J17" s="9" t="s">
        <v>6</v>
      </c>
    </row>
    <row r="18" spans="1:13" ht="18" customHeight="1" x14ac:dyDescent="0.2">
      <c r="A18" s="34" t="str">
        <f>OVERALL!A18</f>
        <v>INFORM</v>
      </c>
      <c r="B18" s="3">
        <f>IF(C18=0,"-",COUNTIF(D18:H18,"y")/C18)</f>
        <v>0.6</v>
      </c>
      <c r="C18" s="27">
        <f>$C$2-COUNTIF(D18:H18, "-")</f>
        <v>5</v>
      </c>
      <c r="D18" s="330" t="s">
        <v>124</v>
      </c>
      <c r="E18" s="300" t="s">
        <v>123</v>
      </c>
      <c r="F18" s="305" t="s">
        <v>124</v>
      </c>
      <c r="G18" s="311" t="s">
        <v>124</v>
      </c>
      <c r="H18" s="318" t="s">
        <v>123</v>
      </c>
    </row>
    <row r="19" spans="1:13" ht="18" customHeight="1" x14ac:dyDescent="0.2">
      <c r="A19" s="34" t="str">
        <f>OVERALL!A19</f>
        <v>CHECK</v>
      </c>
      <c r="B19" s="3">
        <f>IF(C19=0,"-",COUNTIF(D19:H19,"y")/C19)</f>
        <v>0.2</v>
      </c>
      <c r="C19" s="27">
        <f>$C$2-COUNTIF(D19:H19, "-")</f>
        <v>5</v>
      </c>
      <c r="D19" s="330" t="s">
        <v>123</v>
      </c>
      <c r="E19" s="300" t="s">
        <v>123</v>
      </c>
      <c r="F19" s="305" t="s">
        <v>124</v>
      </c>
      <c r="G19" s="311" t="s">
        <v>123</v>
      </c>
      <c r="H19" s="318" t="s">
        <v>123</v>
      </c>
    </row>
    <row r="20" spans="1:13" ht="18" customHeight="1" x14ac:dyDescent="0.2">
      <c r="A20" s="34" t="str">
        <f>OVERALL!A20</f>
        <v>SEEK</v>
      </c>
      <c r="B20" s="3">
        <f>IF(C20=0,"-",COUNTIF(D20:H20,"y")/C20)</f>
        <v>0.6</v>
      </c>
      <c r="C20" s="27">
        <f>$C$2-COUNTIF(D20:H20, "-")</f>
        <v>5</v>
      </c>
      <c r="D20" s="330" t="s">
        <v>123</v>
      </c>
      <c r="E20" s="300" t="s">
        <v>124</v>
      </c>
      <c r="F20" s="305" t="s">
        <v>124</v>
      </c>
      <c r="G20" s="311" t="s">
        <v>124</v>
      </c>
      <c r="H20" s="318" t="s">
        <v>123</v>
      </c>
      <c r="J20" t="s">
        <v>1</v>
      </c>
    </row>
    <row r="21" spans="1:13" ht="18" customHeight="1" x14ac:dyDescent="0.2">
      <c r="A21" s="34" t="str">
        <f>OVERALL!A21</f>
        <v>CONFIDENCE</v>
      </c>
      <c r="B21" s="3">
        <f>IF(C21=0,"-",COUNTIF(D21:H21,"y")/C21)</f>
        <v>0.8</v>
      </c>
      <c r="C21" s="27">
        <f>$C$2-COUNTIF(D21:H21, "-")</f>
        <v>5</v>
      </c>
      <c r="D21" s="330" t="s">
        <v>124</v>
      </c>
      <c r="E21" s="300" t="s">
        <v>123</v>
      </c>
      <c r="F21" s="305" t="s">
        <v>124</v>
      </c>
      <c r="G21" s="311" t="s">
        <v>124</v>
      </c>
      <c r="H21" s="318" t="s">
        <v>124</v>
      </c>
    </row>
    <row r="22" spans="1:13" ht="18" customHeight="1" x14ac:dyDescent="0.2">
      <c r="A22" s="2"/>
      <c r="C22" s="63">
        <f>AVERAGE(C18:C21)</f>
        <v>5</v>
      </c>
      <c r="D22" s="28">
        <f t="shared" ref="D22:H22" si="5">COUNTA(D18:D21)-COUNTIF(D18:D21, "-")</f>
        <v>4</v>
      </c>
      <c r="E22" s="28">
        <f t="shared" si="5"/>
        <v>4</v>
      </c>
      <c r="F22" s="28">
        <f t="shared" si="5"/>
        <v>4</v>
      </c>
      <c r="G22" s="28">
        <f t="shared" si="5"/>
        <v>4</v>
      </c>
      <c r="H22" s="28">
        <f t="shared" si="5"/>
        <v>4</v>
      </c>
    </row>
    <row r="23" spans="1:13" ht="18" customHeight="1" x14ac:dyDescent="0.2">
      <c r="A23" s="20" t="str">
        <f>OVERALL!A23</f>
        <v>CLOSE</v>
      </c>
      <c r="B23" s="21">
        <f>IF(C27=0,"-",AVERAGE(B24:B26))</f>
        <v>0.66666666666666663</v>
      </c>
      <c r="C23" s="1" t="s">
        <v>1</v>
      </c>
      <c r="D23" s="30">
        <f>IF(D27=0,"-",(COUNTIF(D24:D26, "y")/D27)*OVERALL!$C$23)</f>
        <v>9.9999999999999992E-2</v>
      </c>
      <c r="E23" s="30">
        <f>IF(E27=0,"-",(COUNTIF(E24:E26, "y")/E27)*OVERALL!$C$23)</f>
        <v>9.9999999999999992E-2</v>
      </c>
      <c r="F23" s="30">
        <f>IF(F27=0,"-",(COUNTIF(F24:F26, "y")/F27)*OVERALL!$C$23)</f>
        <v>9.9999999999999992E-2</v>
      </c>
      <c r="G23" s="30">
        <f>IF(G27=0,"-",(COUNTIF(G24:G26, "y")/G27)*OVERALL!$C$23)</f>
        <v>9.9999999999999992E-2</v>
      </c>
      <c r="H23" s="30">
        <f>IF(H27=0,"-",(COUNTIF(H24:H26, "y")/H27)*OVERALL!$C$23)</f>
        <v>9.9999999999999992E-2</v>
      </c>
    </row>
    <row r="24" spans="1:13" ht="18" customHeight="1" x14ac:dyDescent="0.2">
      <c r="A24" s="34" t="str">
        <f>OVERALL!A24</f>
        <v>QUESTIONS</v>
      </c>
      <c r="B24" s="3">
        <f>IF(C24=0,"-",COUNTIF(D24:H24,"y")/C24)</f>
        <v>0.8</v>
      </c>
      <c r="C24" s="27">
        <f>$C$2-COUNTIF(D24:H24, "-")</f>
        <v>5</v>
      </c>
      <c r="D24" s="330" t="s">
        <v>124</v>
      </c>
      <c r="E24" s="300" t="s">
        <v>123</v>
      </c>
      <c r="F24" s="262" t="s">
        <v>124</v>
      </c>
      <c r="G24" s="262" t="s">
        <v>124</v>
      </c>
      <c r="H24" s="262" t="s">
        <v>124</v>
      </c>
    </row>
    <row r="25" spans="1:13" ht="18" customHeight="1" x14ac:dyDescent="0.2">
      <c r="A25" s="34" t="str">
        <f>OVERALL!A25</f>
        <v>GRATITUDE</v>
      </c>
      <c r="B25" s="3">
        <f>IF(C25=0,"-",COUNTIF(D25:H25,"y")/C25)</f>
        <v>0.2</v>
      </c>
      <c r="C25" s="27">
        <f>$C$2-COUNTIF(D25:H25, "-")</f>
        <v>5</v>
      </c>
      <c r="D25" s="330" t="s">
        <v>123</v>
      </c>
      <c r="E25" s="300" t="s">
        <v>124</v>
      </c>
      <c r="F25" s="263" t="s">
        <v>123</v>
      </c>
      <c r="G25" s="263" t="s">
        <v>123</v>
      </c>
      <c r="H25" s="263" t="s">
        <v>123</v>
      </c>
    </row>
    <row r="26" spans="1:13" ht="18" customHeight="1" x14ac:dyDescent="0.2">
      <c r="A26" s="34" t="str">
        <f>OVERALL!A26</f>
        <v>THANKS</v>
      </c>
      <c r="B26" s="3">
        <f>IF(C26=0,"-",COUNTIF(D26:H26,"y")/C26)</f>
        <v>1</v>
      </c>
      <c r="C26" s="27">
        <f>$C$2-COUNTIF(D26:H26, "-")</f>
        <v>5</v>
      </c>
      <c r="D26" s="330" t="s">
        <v>124</v>
      </c>
      <c r="E26" s="300" t="s">
        <v>124</v>
      </c>
      <c r="F26" s="263" t="s">
        <v>124</v>
      </c>
      <c r="G26" s="263" t="s">
        <v>124</v>
      </c>
      <c r="H26" s="263" t="s">
        <v>124</v>
      </c>
    </row>
    <row r="27" spans="1:13" ht="18" customHeight="1" x14ac:dyDescent="0.2">
      <c r="A27" s="2"/>
      <c r="C27" s="63">
        <f>AVERAGE(C24:C26)</f>
        <v>5</v>
      </c>
      <c r="D27" s="28">
        <f t="shared" ref="D27:H27" si="6">COUNTA(D24:D26)-COUNTIF(D24:D26, "-")</f>
        <v>3</v>
      </c>
      <c r="E27" s="28">
        <f t="shared" si="6"/>
        <v>3</v>
      </c>
      <c r="F27" s="28">
        <f t="shared" si="6"/>
        <v>3</v>
      </c>
      <c r="G27" s="28">
        <f t="shared" si="6"/>
        <v>3</v>
      </c>
      <c r="H27" s="28">
        <f t="shared" si="6"/>
        <v>3</v>
      </c>
    </row>
    <row r="28" spans="1:13" ht="18" customHeight="1" x14ac:dyDescent="0.2">
      <c r="A28" s="20" t="str">
        <f>OVERALL!A28</f>
        <v>IMPACT</v>
      </c>
      <c r="B28" s="21">
        <f>IF(C33=0,"-",AVERAGE(B29:B32))</f>
        <v>0.7</v>
      </c>
      <c r="C28" s="1" t="s">
        <v>1</v>
      </c>
      <c r="D28" s="30">
        <f>IF(D33=0,"-",(COUNTIF(D29:D32, "y")/D33)*OVERALL!$C$28)</f>
        <v>0.15000000000000002</v>
      </c>
      <c r="E28" s="30">
        <f>IF(E33=0,"-",(COUNTIF(E29:E32, "y")/E33)*OVERALL!$C$28)</f>
        <v>0.1</v>
      </c>
      <c r="F28" s="30">
        <f>IF(F33=0,"-",(COUNTIF(F29:F32, "y")/F33)*OVERALL!$C$28)</f>
        <v>0.15000000000000002</v>
      </c>
      <c r="G28" s="30">
        <f>IF(G33=0,"-",(COUNTIF(G29:G32, "y")/G33)*OVERALL!$C$28)</f>
        <v>0.2</v>
      </c>
      <c r="H28" s="30">
        <f>IF(H33=0,"-",(COUNTIF(H29:H32, "y")/H33)*OVERALL!$C$28)</f>
        <v>0.1</v>
      </c>
    </row>
    <row r="29" spans="1:13" ht="18" customHeight="1" x14ac:dyDescent="0.2">
      <c r="A29" s="34" t="str">
        <f>OVERALL!A29</f>
        <v>VIBRANCY</v>
      </c>
      <c r="B29" s="3">
        <f>IF(C29=0,"-",COUNTIF(D29:H29,"y")/C29)</f>
        <v>1</v>
      </c>
      <c r="C29" s="27">
        <f>$C$2-COUNTIF(D29:H29, "-")</f>
        <v>5</v>
      </c>
      <c r="D29" s="330" t="s">
        <v>124</v>
      </c>
      <c r="E29" s="300" t="s">
        <v>124</v>
      </c>
      <c r="F29" s="262" t="s">
        <v>124</v>
      </c>
      <c r="G29" s="262" t="s">
        <v>124</v>
      </c>
      <c r="H29" s="262" t="s">
        <v>124</v>
      </c>
    </row>
    <row r="30" spans="1:13" ht="18" customHeight="1" x14ac:dyDescent="0.2">
      <c r="A30" s="34" t="str">
        <f>OVERALL!A30</f>
        <v>EMPATHY</v>
      </c>
      <c r="B30" s="3">
        <f>IF(C30=0,"-",COUNTIF(D30:H30,"y")/C30)</f>
        <v>0.6</v>
      </c>
      <c r="C30" s="27">
        <f>$C$2-COUNTIF(D30:H30, "-")</f>
        <v>5</v>
      </c>
      <c r="D30" s="330" t="s">
        <v>123</v>
      </c>
      <c r="E30" s="300" t="s">
        <v>123</v>
      </c>
      <c r="F30" s="263" t="s">
        <v>124</v>
      </c>
      <c r="G30" s="263" t="s">
        <v>124</v>
      </c>
      <c r="H30" s="263" t="s">
        <v>124</v>
      </c>
    </row>
    <row r="31" spans="1:13" ht="18" customHeight="1" x14ac:dyDescent="0.2">
      <c r="A31" s="34" t="str">
        <f>OVERALL!A31</f>
        <v>CONTROL</v>
      </c>
      <c r="B31" s="3">
        <f>IF(C31=0,"-",COUNTIF(D31:H31,"y")/C31)</f>
        <v>0.4</v>
      </c>
      <c r="C31" s="27">
        <f>$C$2-COUNTIF(D31:H31, "-")</f>
        <v>5</v>
      </c>
      <c r="D31" s="330" t="s">
        <v>124</v>
      </c>
      <c r="E31" s="300" t="s">
        <v>123</v>
      </c>
      <c r="F31" s="263" t="s">
        <v>123</v>
      </c>
      <c r="G31" s="263" t="s">
        <v>124</v>
      </c>
      <c r="H31" s="263" t="s">
        <v>123</v>
      </c>
    </row>
    <row r="32" spans="1:13" ht="18" customHeight="1" x14ac:dyDescent="0.2">
      <c r="A32" s="34" t="str">
        <f>OVERALL!A32</f>
        <v>CLARITY</v>
      </c>
      <c r="B32" s="3">
        <f>IF(C32=0,"-",COUNTIF(D32:H32,"y")/C32)</f>
        <v>0.8</v>
      </c>
      <c r="C32" s="27">
        <f>$C$2-COUNTIF(D32:H32, "-")</f>
        <v>5</v>
      </c>
      <c r="D32" s="330" t="s">
        <v>124</v>
      </c>
      <c r="E32" s="300" t="s">
        <v>124</v>
      </c>
      <c r="F32" s="305" t="s">
        <v>124</v>
      </c>
      <c r="G32" s="311" t="s">
        <v>124</v>
      </c>
      <c r="H32" s="318" t="s">
        <v>123</v>
      </c>
      <c r="M32" t="s">
        <v>1</v>
      </c>
    </row>
    <row r="33" spans="1:15" ht="18" customHeight="1" x14ac:dyDescent="0.2">
      <c r="A33" s="5"/>
      <c r="B33" s="6"/>
      <c r="C33" s="63">
        <f>AVERAGE(C29:C32)</f>
        <v>5</v>
      </c>
      <c r="D33" s="28">
        <f t="shared" ref="D33:H33" si="7">COUNTA(D29:D32)-COUNTIF(D29:D32, "-")</f>
        <v>4</v>
      </c>
      <c r="E33" s="28">
        <f t="shared" si="7"/>
        <v>4</v>
      </c>
      <c r="F33" s="28">
        <f t="shared" si="7"/>
        <v>4</v>
      </c>
      <c r="G33" s="28">
        <f t="shared" si="7"/>
        <v>4</v>
      </c>
      <c r="H33" s="28">
        <f t="shared" si="7"/>
        <v>4</v>
      </c>
    </row>
    <row r="34" spans="1:15" ht="18" customHeight="1" x14ac:dyDescent="0.2">
      <c r="A34" s="42" t="str">
        <f>OVERALL!A34</f>
        <v>% OF CALLS WITH DEDUCTIONS</v>
      </c>
      <c r="B34" s="43">
        <f>IF(C37=0,"-",SUM(D37:H37)/C37)</f>
        <v>0</v>
      </c>
      <c r="C34" s="1" t="s">
        <v>1</v>
      </c>
      <c r="D34" s="44" t="str">
        <f>IF(D37=0,"-",IF(D37="","-",IF(D35="y",$J$35,IF(D36="y",$J$36,0%))))</f>
        <v>-</v>
      </c>
      <c r="E34" s="44" t="str">
        <f>IF(E37=0,"-",IF(E37="","-",IF(E35="y",$J$35,IF(E36="y",$J$36,0%))))</f>
        <v>-</v>
      </c>
      <c r="F34" s="44" t="str">
        <f>IF(F37=0,"-",IF(F37="","-",IF(F35="y",$J$35,IF(F36="y",$J$36,0%))))</f>
        <v>-</v>
      </c>
      <c r="G34" s="44" t="str">
        <f>IF(G37=0,"-",IF(G37="","-",IF(G35="y",$J$35,IF(G36="y",$J$36,0%))))</f>
        <v>-</v>
      </c>
      <c r="H34" s="44" t="str">
        <f>IF(H37=0,"-",IF(H37="","-",IF(H35="y",$J$35,IF(H36="y",$J$36,0%))))</f>
        <v>-</v>
      </c>
      <c r="J34" s="44" t="s">
        <v>50</v>
      </c>
    </row>
    <row r="35" spans="1:15" ht="18" customHeight="1" x14ac:dyDescent="0.2">
      <c r="A35" s="45" t="str">
        <f>OVERALL!A35</f>
        <v>AUDIO ISSUE (MAJOR IMPACT)</v>
      </c>
      <c r="B35" s="3">
        <f>IF(C35=0,"-",COUNTIF(D35:H35,"y")/C35)</f>
        <v>0</v>
      </c>
      <c r="C35" s="27">
        <f>$C$2-COUNTIF(D35:H35, "-")</f>
        <v>5</v>
      </c>
      <c r="D35" s="330" t="s">
        <v>123</v>
      </c>
      <c r="E35" s="300" t="s">
        <v>123</v>
      </c>
      <c r="F35" s="305" t="s">
        <v>123</v>
      </c>
      <c r="G35" s="311" t="s">
        <v>123</v>
      </c>
      <c r="H35" s="318" t="s">
        <v>123</v>
      </c>
      <c r="J35" s="48">
        <v>-0.3</v>
      </c>
      <c r="L35" s="48"/>
      <c r="M35" s="48"/>
      <c r="N35" s="48"/>
    </row>
    <row r="36" spans="1:15" ht="18" customHeight="1" x14ac:dyDescent="0.2">
      <c r="A36" s="45" t="str">
        <f>OVERALL!A36</f>
        <v>AUDIO ISSUE (DISTRACTION)</v>
      </c>
      <c r="B36" s="3">
        <f>IF(C36=0,"-",COUNTIF(D36:H36,"y")/C36)</f>
        <v>0</v>
      </c>
      <c r="C36" s="27">
        <f>$C$2-COUNTIF(D36:H36, "-")</f>
        <v>5</v>
      </c>
      <c r="D36" s="330" t="s">
        <v>123</v>
      </c>
      <c r="E36" s="300" t="s">
        <v>123</v>
      </c>
      <c r="F36" s="305" t="s">
        <v>123</v>
      </c>
      <c r="G36" s="311" t="s">
        <v>123</v>
      </c>
      <c r="H36" s="318" t="s">
        <v>123</v>
      </c>
      <c r="J36" s="48">
        <v>-0.1</v>
      </c>
      <c r="L36" s="48"/>
      <c r="M36" s="48"/>
      <c r="N36" s="48"/>
    </row>
    <row r="37" spans="1:15" ht="18" customHeight="1" x14ac:dyDescent="0.2">
      <c r="A37" s="5"/>
      <c r="B37" s="6"/>
      <c r="C37" s="63">
        <f>C35</f>
        <v>5</v>
      </c>
      <c r="D37" s="28">
        <f t="shared" ref="D37:H37" si="8">IF(D35="NA","",COUNTIF(D35:D36, "y"))</f>
        <v>0</v>
      </c>
      <c r="E37" s="28">
        <f t="shared" si="8"/>
        <v>0</v>
      </c>
      <c r="F37" s="28">
        <f t="shared" si="8"/>
        <v>0</v>
      </c>
      <c r="G37" s="28">
        <f t="shared" si="8"/>
        <v>0</v>
      </c>
      <c r="H37" s="28">
        <f t="shared" si="8"/>
        <v>0</v>
      </c>
    </row>
    <row r="38" spans="1:15" ht="18" customHeight="1" x14ac:dyDescent="0.2">
      <c r="A38" s="384" t="str">
        <f>OVERALL!A38</f>
        <v>ADDITIONAL INSIGHT</v>
      </c>
      <c r="B38" s="385"/>
      <c r="C38" s="10" t="s">
        <v>1</v>
      </c>
      <c r="D38" s="31"/>
      <c r="E38" s="31"/>
      <c r="F38" s="31"/>
      <c r="G38" s="31"/>
      <c r="H38" s="31"/>
    </row>
    <row r="39" spans="1:15" ht="18" customHeight="1" x14ac:dyDescent="0.2">
      <c r="A39" s="34" t="str">
        <f>OVERALL!A39</f>
        <v>CALL ANSWERED-QUALITY</v>
      </c>
      <c r="B39" s="3">
        <f>IF(C39=0,"-",COUNTIF(D39:H39, "y")/C39)</f>
        <v>1</v>
      </c>
      <c r="C39" s="27">
        <f>$C$2-COUNTIF(D39:H39, "-")</f>
        <v>5</v>
      </c>
      <c r="D39" s="330" t="s">
        <v>124</v>
      </c>
      <c r="E39" s="300" t="s">
        <v>124</v>
      </c>
      <c r="F39" s="305" t="s">
        <v>124</v>
      </c>
      <c r="G39" s="311" t="s">
        <v>124</v>
      </c>
      <c r="H39" s="318" t="s">
        <v>124</v>
      </c>
    </row>
    <row r="40" spans="1:15" ht="18" customHeight="1" x14ac:dyDescent="0.2">
      <c r="A40" s="34" t="str">
        <f>OVERALL!A40</f>
        <v>TALK TIME</v>
      </c>
      <c r="B40" s="276">
        <f>IF(C40=0,"-",AVERAGE(D40:H40))</f>
        <v>3.8124999999999999E-3</v>
      </c>
      <c r="C40" s="27">
        <f>$C$2-COUNTIF(D40:H40, "-")</f>
        <v>5</v>
      </c>
      <c r="D40" s="275">
        <v>3.0324074074074073E-3</v>
      </c>
      <c r="E40" s="275">
        <v>2.2337962962962962E-3</v>
      </c>
      <c r="F40" s="275">
        <v>5.8796296296296296E-3</v>
      </c>
      <c r="G40" s="313">
        <v>2.5578703703703705E-3</v>
      </c>
      <c r="H40" s="275">
        <v>5.3587962962962964E-3</v>
      </c>
      <c r="I40" s="46"/>
      <c r="J40" s="274"/>
      <c r="K40" s="274"/>
      <c r="L40" s="274"/>
      <c r="M40" s="274"/>
      <c r="N40" s="274"/>
      <c r="O40" s="274"/>
    </row>
    <row r="41" spans="1:15" ht="18" customHeight="1" x14ac:dyDescent="0.2">
      <c r="A41" s="34" t="str">
        <f>OVERALL!A41</f>
        <v>ASSESSOR RATING (0-10)</v>
      </c>
      <c r="B41" s="22">
        <f>IF(C41=0,"-",SUM(D41:H41)/C41)</f>
        <v>4.5999999999999996</v>
      </c>
      <c r="C41" s="27">
        <f>$C$2-COUNTIF(D41:H41, "-")</f>
        <v>5</v>
      </c>
      <c r="D41" s="266">
        <v>4</v>
      </c>
      <c r="E41" s="266">
        <v>3</v>
      </c>
      <c r="F41" s="266">
        <v>6</v>
      </c>
      <c r="G41" s="266">
        <v>6</v>
      </c>
      <c r="H41" s="266">
        <v>4</v>
      </c>
    </row>
    <row r="42" spans="1:15" ht="18" customHeight="1" x14ac:dyDescent="0.2">
      <c r="A42" s="34" t="str">
        <f>OVERALL!A42</f>
        <v>EXPLAINED KEY FEATURES</v>
      </c>
      <c r="B42" s="3">
        <f>IF(C42=0,"-",COUNTIF(D42:H42, "y")/C42)</f>
        <v>0.8</v>
      </c>
      <c r="C42" s="27">
        <f>$C$2-COUNTIF(D42:H42, "-")</f>
        <v>5</v>
      </c>
      <c r="D42" s="330" t="s">
        <v>124</v>
      </c>
      <c r="E42" s="300" t="s">
        <v>123</v>
      </c>
      <c r="F42" s="305" t="s">
        <v>124</v>
      </c>
      <c r="G42" s="311" t="s">
        <v>124</v>
      </c>
      <c r="H42" s="318" t="s">
        <v>124</v>
      </c>
      <c r="I42" s="47"/>
      <c r="J42" t="s">
        <v>1</v>
      </c>
    </row>
    <row r="43" spans="1:15" ht="18" customHeight="1" x14ac:dyDescent="0.2">
      <c r="A43" s="34" t="str">
        <f>OVERALL!A43</f>
        <v>REVEALED PRICING</v>
      </c>
      <c r="B43" s="3">
        <f>IF(C43=0,"-",COUNTIF(D43:H43, "y")/C43)</f>
        <v>0.8</v>
      </c>
      <c r="C43" s="27">
        <f>$C$2-COUNTIF(D43:H43, "-")</f>
        <v>5</v>
      </c>
      <c r="D43" s="330" t="s">
        <v>124</v>
      </c>
      <c r="E43" s="300" t="s">
        <v>123</v>
      </c>
      <c r="F43" s="305" t="s">
        <v>124</v>
      </c>
      <c r="G43" s="311" t="s">
        <v>124</v>
      </c>
      <c r="H43" s="318" t="s">
        <v>124</v>
      </c>
    </row>
    <row r="44" spans="1:15" ht="18" customHeight="1" x14ac:dyDescent="0.2">
      <c r="A44" s="34" t="str">
        <f>OVERALL!A44</f>
        <v>EXPLAINED ACTIONS &amp; PROCESS</v>
      </c>
      <c r="B44" s="3">
        <f>IF(C44=0,"-",COUNTIF(D44:H44, "y")/C44)</f>
        <v>1</v>
      </c>
      <c r="C44" s="27">
        <f>$C$2-COUNTIF(D44:H44, "-")</f>
        <v>5</v>
      </c>
      <c r="D44" s="330" t="s">
        <v>124</v>
      </c>
      <c r="E44" s="300" t="s">
        <v>124</v>
      </c>
      <c r="F44" s="305" t="s">
        <v>124</v>
      </c>
      <c r="G44" s="311" t="s">
        <v>124</v>
      </c>
      <c r="H44" s="318" t="s">
        <v>124</v>
      </c>
    </row>
    <row r="45" spans="1:15" ht="18" customHeight="1" x14ac:dyDescent="0.2">
      <c r="A45" s="34" t="str">
        <f>OVERALL!A45</f>
        <v>WEBSITE EDUCATION</v>
      </c>
      <c r="B45" s="3">
        <f>IF(C45=0,"-",COUNTIF(D45:H45, "y")/C45)</f>
        <v>0.8</v>
      </c>
      <c r="C45" s="27">
        <f>$C$2-COUNTIF(D45:H45, "-")</f>
        <v>5</v>
      </c>
      <c r="D45" s="330" t="s">
        <v>124</v>
      </c>
      <c r="E45" s="300" t="s">
        <v>124</v>
      </c>
      <c r="F45" s="305" t="s">
        <v>123</v>
      </c>
      <c r="G45" s="311" t="s">
        <v>124</v>
      </c>
      <c r="H45" s="318" t="s">
        <v>124</v>
      </c>
    </row>
    <row r="46" spans="1:15" ht="18" customHeight="1" x14ac:dyDescent="0.2">
      <c r="A46" s="18"/>
      <c r="B46" s="3"/>
      <c r="C46" s="27"/>
      <c r="D46" s="268"/>
      <c r="E46" s="268"/>
      <c r="F46" s="268"/>
      <c r="G46" s="268"/>
      <c r="H46" s="268"/>
    </row>
    <row r="47" spans="1:15" ht="210" x14ac:dyDescent="0.2">
      <c r="A47" s="26" t="s">
        <v>1</v>
      </c>
      <c r="B47" s="386" t="s">
        <v>35</v>
      </c>
      <c r="C47" s="387"/>
      <c r="D47" s="24" t="s">
        <v>175</v>
      </c>
      <c r="E47" s="24" t="s">
        <v>128</v>
      </c>
      <c r="F47" s="24" t="s">
        <v>135</v>
      </c>
      <c r="G47" s="24" t="s">
        <v>145</v>
      </c>
      <c r="H47" s="24" t="s">
        <v>164</v>
      </c>
    </row>
    <row r="48" spans="1:15" ht="18" customHeight="1" x14ac:dyDescent="0.2">
      <c r="A48" s="59" t="s">
        <v>47</v>
      </c>
      <c r="D48" s="50">
        <f t="shared" ref="D48:H48" si="9">IF(D$2="","",IF(D$39="n", "", SUM(D$6,D$12,D$17,D$23,D$28,D$34)))</f>
        <v>0.44166666666666665</v>
      </c>
      <c r="E48" s="50">
        <f t="shared" si="9"/>
        <v>0.37916666666666665</v>
      </c>
      <c r="F48" s="50">
        <f t="shared" si="9"/>
        <v>0.68333333333333335</v>
      </c>
      <c r="G48" s="50">
        <f t="shared" si="9"/>
        <v>0.67083333333333339</v>
      </c>
      <c r="H48" s="50">
        <f t="shared" si="9"/>
        <v>0.37916666666666665</v>
      </c>
    </row>
    <row r="50" spans="1:8" ht="19" x14ac:dyDescent="0.25">
      <c r="A50" s="110" t="s">
        <v>74</v>
      </c>
      <c r="B50" s="90" t="s">
        <v>75</v>
      </c>
    </row>
    <row r="51" spans="1:8" x14ac:dyDescent="0.2">
      <c r="A51" s="111" t="s">
        <v>63</v>
      </c>
      <c r="B51" s="112">
        <v>0.3</v>
      </c>
      <c r="C51" s="111"/>
      <c r="D51" s="256">
        <f>[1]BANK_AUSTRALIA!D$4</f>
        <v>0.70958333333333334</v>
      </c>
      <c r="E51" s="256">
        <f>[1]BANK_AUSTRALIA!E$4</f>
        <v>3.5178571428571392E-2</v>
      </c>
      <c r="F51" s="256">
        <f>[1]BANK_AUSTRALIA!F$4</f>
        <v>0.74083333333333334</v>
      </c>
      <c r="G51" s="256">
        <f>[1]BANK_AUSTRALIA!G$4</f>
        <v>0.5708928571428572</v>
      </c>
      <c r="H51" s="256">
        <f>[1]BANK_AUSTRALIA!H$4</f>
        <v>0.54708333333333337</v>
      </c>
    </row>
    <row r="52" spans="1:8" x14ac:dyDescent="0.2">
      <c r="A52" s="111" t="s">
        <v>64</v>
      </c>
      <c r="B52" s="112">
        <v>0.7</v>
      </c>
      <c r="C52" s="111"/>
      <c r="D52" s="257">
        <f t="shared" ref="D52:H52" si="10">D4</f>
        <v>0.44166666666666665</v>
      </c>
      <c r="E52" s="257">
        <f t="shared" si="10"/>
        <v>0.37916666666666665</v>
      </c>
      <c r="F52" s="257">
        <f t="shared" si="10"/>
        <v>0.68333333333333335</v>
      </c>
      <c r="G52" s="257">
        <f t="shared" si="10"/>
        <v>0.67083333333333339</v>
      </c>
      <c r="H52" s="257">
        <f t="shared" si="10"/>
        <v>0.37916666666666665</v>
      </c>
    </row>
    <row r="53" spans="1:8" x14ac:dyDescent="0.2">
      <c r="A53" t="s">
        <v>1</v>
      </c>
      <c r="D53" s="49"/>
      <c r="E53" s="49"/>
      <c r="F53" s="49"/>
      <c r="G53" s="49"/>
      <c r="H53" s="49"/>
    </row>
    <row r="54" spans="1:8" x14ac:dyDescent="0.2">
      <c r="A54" s="113" t="s">
        <v>76</v>
      </c>
      <c r="D54" s="49"/>
      <c r="E54" s="49"/>
      <c r="F54" s="49"/>
      <c r="G54" s="49"/>
      <c r="H54" s="49"/>
    </row>
    <row r="55" spans="1:8" x14ac:dyDescent="0.2">
      <c r="A55" s="111" t="s">
        <v>63</v>
      </c>
      <c r="B55" s="111"/>
      <c r="C55" s="111"/>
      <c r="D55" s="257">
        <f>IF(D51="-","-",D51*$B$51)</f>
        <v>0.21287500000000001</v>
      </c>
      <c r="E55" s="257">
        <f t="shared" ref="E55:H55" si="11">IF(E51="-","-",E51*$B$51)</f>
        <v>1.0553571428571417E-2</v>
      </c>
      <c r="F55" s="257">
        <f t="shared" si="11"/>
        <v>0.22225</v>
      </c>
      <c r="G55" s="257">
        <f t="shared" si="11"/>
        <v>0.17126785714285717</v>
      </c>
      <c r="H55" s="257">
        <f t="shared" si="11"/>
        <v>0.16412499999999999</v>
      </c>
    </row>
    <row r="56" spans="1:8" x14ac:dyDescent="0.2">
      <c r="A56" s="111" t="s">
        <v>64</v>
      </c>
      <c r="B56" s="111"/>
      <c r="C56" s="111"/>
      <c r="D56" s="257">
        <f t="shared" ref="D56:H56" si="12">IF(D52="-","-",D52*$B$52)</f>
        <v>0.30916666666666665</v>
      </c>
      <c r="E56" s="257">
        <f t="shared" si="12"/>
        <v>0.26541666666666663</v>
      </c>
      <c r="F56" s="257">
        <f t="shared" si="12"/>
        <v>0.47833333333333333</v>
      </c>
      <c r="G56" s="257">
        <f t="shared" si="12"/>
        <v>0.46958333333333335</v>
      </c>
      <c r="H56" s="257">
        <f t="shared" si="12"/>
        <v>0.26541666666666663</v>
      </c>
    </row>
    <row r="57" spans="1:8" x14ac:dyDescent="0.2">
      <c r="A57" s="114" t="s">
        <v>59</v>
      </c>
      <c r="B57" s="114"/>
      <c r="C57" s="114"/>
      <c r="D57" s="115">
        <f t="shared" ref="D57:H57" si="13">IF(D51="","",IF(D52="","",SUM(D55:D56)))</f>
        <v>0.52204166666666663</v>
      </c>
      <c r="E57" s="115">
        <f t="shared" si="13"/>
        <v>0.27597023809523807</v>
      </c>
      <c r="F57" s="115">
        <f t="shared" si="13"/>
        <v>0.70058333333333334</v>
      </c>
      <c r="G57" s="115">
        <f t="shared" si="13"/>
        <v>0.64085119047619055</v>
      </c>
      <c r="H57" s="115">
        <f t="shared" si="13"/>
        <v>0.4295416666666666</v>
      </c>
    </row>
  </sheetData>
  <mergeCells count="2">
    <mergeCell ref="B47:C47"/>
    <mergeCell ref="A38:B38"/>
  </mergeCells>
  <conditionalFormatting sqref="B4">
    <cfRule type="containsBlanks" dxfId="135" priority="10">
      <formula>LEN(TRIM(B4))=0</formula>
    </cfRule>
    <cfRule type="cellIs" dxfId="134" priority="11" operator="greaterThanOrEqual">
      <formula>0.905</formula>
    </cfRule>
    <cfRule type="cellIs" dxfId="133" priority="12" operator="between">
      <formula>0.754999</formula>
      <formula>0.905</formula>
    </cfRule>
    <cfRule type="cellIs" dxfId="132" priority="13" operator="between">
      <formula>0.604999</formula>
      <formula>0.754999</formula>
    </cfRule>
    <cfRule type="cellIs" dxfId="131" priority="14" operator="between">
      <formula>0.44999</formula>
      <formula>0.605</formula>
    </cfRule>
    <cfRule type="cellIs" dxfId="130" priority="15" operator="lessThan">
      <formula>0.45</formula>
    </cfRule>
  </conditionalFormatting>
  <conditionalFormatting sqref="B6">
    <cfRule type="containsText" dxfId="129" priority="9" operator="containsText" text="NA">
      <formula>NOT(ISERROR(SEARCH("NA",B6)))</formula>
    </cfRule>
  </conditionalFormatting>
  <conditionalFormatting sqref="B12">
    <cfRule type="containsText" dxfId="128" priority="4" operator="containsText" text="NA">
      <formula>NOT(ISERROR(SEARCH("NA",B12)))</formula>
    </cfRule>
  </conditionalFormatting>
  <conditionalFormatting sqref="B17">
    <cfRule type="containsText" dxfId="127" priority="3" operator="containsText" text="NA">
      <formula>NOT(ISERROR(SEARCH("NA",B17)))</formula>
    </cfRule>
  </conditionalFormatting>
  <conditionalFormatting sqref="B23">
    <cfRule type="containsText" dxfId="126" priority="2" operator="containsText" text="NA">
      <formula>NOT(ISERROR(SEARCH("NA",B23)))</formula>
    </cfRule>
  </conditionalFormatting>
  <conditionalFormatting sqref="B28">
    <cfRule type="containsText" dxfId="125" priority="1" operator="containsText" text="NA">
      <formula>NOT(ISERROR(SEARCH("NA",B28)))</formula>
    </cfRule>
  </conditionalFormatting>
  <conditionalFormatting sqref="D4:H4">
    <cfRule type="containsBlanks" dxfId="124" priority="16">
      <formula>LEN(TRIM(D4))=0</formula>
    </cfRule>
    <cfRule type="cellIs" dxfId="123" priority="17" operator="greaterThanOrEqual">
      <formula>0.905</formula>
    </cfRule>
    <cfRule type="cellIs" dxfId="122" priority="18" operator="between">
      <formula>0.754999</formula>
      <formula>0.905</formula>
    </cfRule>
    <cfRule type="cellIs" dxfId="121" priority="19" operator="between">
      <formula>0.604999</formula>
      <formula>0.754999</formula>
    </cfRule>
    <cfRule type="cellIs" dxfId="120" priority="20" operator="between">
      <formula>0.44999</formula>
      <formula>0.605</formula>
    </cfRule>
    <cfRule type="cellIs" dxfId="119" priority="21"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0" zoomScaleNormal="80" workbookViewId="0">
      <pane xSplit="3" ySplit="6" topLeftCell="D47" activePane="bottomRight" state="frozen"/>
      <selection activeCell="F39" sqref="F39:F47"/>
      <selection pane="topRight" activeCell="F39" sqref="F39:F47"/>
      <selection pane="bottomLeft" activeCell="F39" sqref="F39:F47"/>
      <selection pane="bottomRight" activeCell="B4" sqref="B4"/>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31" t="s">
        <v>178</v>
      </c>
      <c r="E2" s="301" t="s">
        <v>77</v>
      </c>
      <c r="F2" s="306" t="s">
        <v>77</v>
      </c>
      <c r="G2" s="319" t="s">
        <v>77</v>
      </c>
      <c r="H2" s="319" t="s">
        <v>77</v>
      </c>
      <c r="I2" s="338" t="s">
        <v>189</v>
      </c>
    </row>
    <row r="3" spans="1:11" ht="19" x14ac:dyDescent="0.2">
      <c r="A3" s="33" t="str">
        <f>OVERALL!F1</f>
        <v>CBA</v>
      </c>
      <c r="B3" s="248">
        <f>OVERALL!E3</f>
        <v>0.20050595238095242</v>
      </c>
      <c r="C3" s="108" t="s">
        <v>73</v>
      </c>
      <c r="D3" s="109">
        <f>IF(D2="-","-",D57)</f>
        <v>0.48443452380952379</v>
      </c>
      <c r="E3" s="109" t="str">
        <f t="shared" ref="E3:I3" si="0">IF(E2="-","-",E57)</f>
        <v>-</v>
      </c>
      <c r="F3" s="109" t="str">
        <f t="shared" si="0"/>
        <v>-</v>
      </c>
      <c r="G3" s="109" t="str">
        <f t="shared" si="0"/>
        <v>-</v>
      </c>
      <c r="H3" s="109" t="str">
        <f t="shared" si="0"/>
        <v>-</v>
      </c>
      <c r="I3" s="109">
        <f t="shared" si="0"/>
        <v>0.57104166666666667</v>
      </c>
    </row>
    <row r="4" spans="1:11" ht="18" customHeight="1" x14ac:dyDescent="0.2">
      <c r="A4" s="17" t="str">
        <f>OVERALL!A4</f>
        <v>QUALITY SCORE</v>
      </c>
      <c r="B4" s="38">
        <f>IF(C2=0, "-", IF(COUNTIF(D39:I39, "n")=C2, "-", IF(COUNT(D4:I4)=0, "-", AVERAGE(D4:I4))))</f>
        <v>0.42291666666666672</v>
      </c>
      <c r="C4" s="58" t="s">
        <v>1</v>
      </c>
      <c r="D4" s="38">
        <f>IF(D48&lt;0%,0%,IF(D$2="-","-",IF(D$39="n", "-", SUM(D$6,D$12,D$17,D$23,D$28,D$34))))</f>
        <v>0.39166666666666666</v>
      </c>
      <c r="E4" s="38" t="str">
        <f t="shared" ref="E4:I4" si="1">IF(E48&lt;0%,0%,IF(E$2="-","-",IF(E$39="n", "-", SUM(E$6,E$12,E$17,E$23,E$28,E$34))))</f>
        <v>-</v>
      </c>
      <c r="F4" s="38" t="str">
        <f t="shared" si="1"/>
        <v>-</v>
      </c>
      <c r="G4" s="38" t="str">
        <f t="shared" si="1"/>
        <v>-</v>
      </c>
      <c r="H4" s="38" t="str">
        <f t="shared" si="1"/>
        <v>-</v>
      </c>
      <c r="I4" s="38">
        <f t="shared" si="1"/>
        <v>0.45416666666666672</v>
      </c>
      <c r="K4" s="12" t="s">
        <v>8</v>
      </c>
    </row>
    <row r="5" spans="1:11" ht="18" customHeight="1" x14ac:dyDescent="0.25">
      <c r="A5" s="57" t="s">
        <v>48</v>
      </c>
      <c r="B5" s="58">
        <f>IF(B6="-","-",AVERAGE(D5:I5))</f>
        <v>0.42291666666666672</v>
      </c>
      <c r="C5" s="58" t="s">
        <v>1</v>
      </c>
      <c r="D5" s="60">
        <f t="shared" ref="D5:I5" si="2">IF(D$2="","",IF(D$39="n", "", SUM(D$6,D$12,D$17,D$23,D$28)))</f>
        <v>0.39166666666666666</v>
      </c>
      <c r="E5" s="60" t="str">
        <f t="shared" si="2"/>
        <v/>
      </c>
      <c r="F5" s="60" t="str">
        <f t="shared" si="2"/>
        <v/>
      </c>
      <c r="G5" s="60" t="str">
        <f t="shared" si="2"/>
        <v/>
      </c>
      <c r="H5" s="60" t="str">
        <f t="shared" si="2"/>
        <v/>
      </c>
      <c r="I5" s="60">
        <f t="shared" si="2"/>
        <v>0.45416666666666672</v>
      </c>
      <c r="K5" s="7" t="s">
        <v>16</v>
      </c>
    </row>
    <row r="6" spans="1:11" ht="18" customHeight="1" x14ac:dyDescent="0.2">
      <c r="A6" s="20" t="str">
        <f>OVERALL!A6</f>
        <v>ENGAGE</v>
      </c>
      <c r="B6" s="21">
        <f>IF(C11=0,"-",AVERAGE(B7:B10))</f>
        <v>0.25</v>
      </c>
      <c r="C6" s="61" t="s">
        <v>0</v>
      </c>
      <c r="D6" s="29">
        <f>IF(D11=0,"-",(COUNTIF(D7:D10, "y")/D11)*OVERALL!$C$6)</f>
        <v>0.05</v>
      </c>
      <c r="E6" s="29" t="str">
        <f>IF(E11=0,"-",(COUNTIF(E7:E10, "y")/E11)*OVERALL!$C$6)</f>
        <v>-</v>
      </c>
      <c r="F6" s="29" t="str">
        <f>IF(F11=0,"-",(COUNTIF(F7:F10, "y")/F11)*OVERALL!$C$6)</f>
        <v>-</v>
      </c>
      <c r="G6" s="29" t="str">
        <f>IF(G11=0,"-",(COUNTIF(G7:G10, "y")/G11)*OVERALL!$C$6)</f>
        <v>-</v>
      </c>
      <c r="H6" s="29" t="str">
        <f>IF(H11=0,"-",(COUNTIF(H7:H10, "y")/H11)*OVERALL!$C$6)</f>
        <v>-</v>
      </c>
      <c r="I6" s="29">
        <f>IF(I11=0,"-",(COUNTIF(I7:I10, "y")/I11)*OVERALL!$C$6)</f>
        <v>0.05</v>
      </c>
    </row>
    <row r="7" spans="1:11" ht="18" customHeight="1" x14ac:dyDescent="0.2">
      <c r="A7" s="34" t="str">
        <f>OVERALL!A7</f>
        <v>WELCOME</v>
      </c>
      <c r="B7" s="3">
        <f>IF(C7=0,"-",COUNTIF(D7:I7,"y")/C7)</f>
        <v>1</v>
      </c>
      <c r="C7" s="27">
        <f>$C$2-COUNTIF(D7:I7, "-")</f>
        <v>2</v>
      </c>
      <c r="D7" s="330" t="s">
        <v>124</v>
      </c>
      <c r="E7" s="300" t="s">
        <v>77</v>
      </c>
      <c r="F7" s="305" t="s">
        <v>77</v>
      </c>
      <c r="G7" s="318" t="s">
        <v>77</v>
      </c>
      <c r="H7" s="318" t="s">
        <v>77</v>
      </c>
      <c r="I7" s="337" t="s">
        <v>124</v>
      </c>
      <c r="K7" s="11" t="s">
        <v>2</v>
      </c>
    </row>
    <row r="8" spans="1:11" ht="18" customHeight="1" x14ac:dyDescent="0.25">
      <c r="A8" s="34" t="str">
        <f>OVERALL!A8</f>
        <v>INTENT</v>
      </c>
      <c r="B8" s="3">
        <f>IF(C8=0,"-",COUNTIF(D8:I8,"y")/C8)</f>
        <v>0</v>
      </c>
      <c r="C8" s="27">
        <f>$C$2-COUNTIF(D8:I8, "-")</f>
        <v>2</v>
      </c>
      <c r="D8" s="330" t="s">
        <v>123</v>
      </c>
      <c r="E8" s="300" t="s">
        <v>77</v>
      </c>
      <c r="F8" s="305" t="s">
        <v>77</v>
      </c>
      <c r="G8" s="318" t="s">
        <v>77</v>
      </c>
      <c r="H8" s="318" t="s">
        <v>77</v>
      </c>
      <c r="I8" s="337" t="s">
        <v>123</v>
      </c>
      <c r="K8" s="7" t="s">
        <v>15</v>
      </c>
    </row>
    <row r="9" spans="1:11" ht="18" customHeight="1" x14ac:dyDescent="0.2">
      <c r="A9" s="34" t="str">
        <f>OVERALL!A9</f>
        <v>NAME</v>
      </c>
      <c r="B9" s="3">
        <f>IF(C9=0,"-",COUNTIF(D9:I9,"y")/C9)</f>
        <v>0</v>
      </c>
      <c r="C9" s="27">
        <f>$C$2-COUNTIF(D9:I9, "-")</f>
        <v>2</v>
      </c>
      <c r="D9" s="330" t="s">
        <v>123</v>
      </c>
      <c r="E9" s="300" t="s">
        <v>77</v>
      </c>
      <c r="F9" s="305" t="s">
        <v>77</v>
      </c>
      <c r="G9" s="318" t="s">
        <v>77</v>
      </c>
      <c r="H9" s="318" t="s">
        <v>77</v>
      </c>
      <c r="I9" s="337" t="s">
        <v>123</v>
      </c>
      <c r="K9" t="s">
        <v>1</v>
      </c>
    </row>
    <row r="10" spans="1:11" ht="18" customHeight="1" x14ac:dyDescent="0.2">
      <c r="A10" s="34" t="str">
        <f>OVERALL!A10</f>
        <v>BRIDGE</v>
      </c>
      <c r="B10" s="3">
        <f>IF(C10=0,"-",COUNTIF(D10:I10,"y")/C10)</f>
        <v>0</v>
      </c>
      <c r="C10" s="27">
        <f>$C$2-COUNTIF(D10:I10, "-")</f>
        <v>2</v>
      </c>
      <c r="D10" s="330" t="s">
        <v>123</v>
      </c>
      <c r="E10" s="300" t="s">
        <v>77</v>
      </c>
      <c r="F10" s="305" t="s">
        <v>77</v>
      </c>
      <c r="G10" s="318" t="s">
        <v>77</v>
      </c>
      <c r="H10" s="318" t="s">
        <v>77</v>
      </c>
      <c r="I10" s="337" t="s">
        <v>123</v>
      </c>
      <c r="K10" s="13" t="s">
        <v>3</v>
      </c>
    </row>
    <row r="11" spans="1:11" ht="18" customHeight="1" x14ac:dyDescent="0.25">
      <c r="A11" s="2"/>
      <c r="C11" s="63">
        <f>AVERAGE(C7:C10)</f>
        <v>2</v>
      </c>
      <c r="D11" s="28">
        <f t="shared" ref="D11:I11" si="3">COUNTA(D7:D10)-COUNTIF(D7:D10, "-")</f>
        <v>4</v>
      </c>
      <c r="E11" s="28">
        <f t="shared" si="3"/>
        <v>0</v>
      </c>
      <c r="F11" s="28">
        <f t="shared" si="3"/>
        <v>0</v>
      </c>
      <c r="G11" s="28">
        <f t="shared" si="3"/>
        <v>0</v>
      </c>
      <c r="H11" s="28">
        <f t="shared" si="3"/>
        <v>0</v>
      </c>
      <c r="I11" s="28">
        <f t="shared" si="3"/>
        <v>4</v>
      </c>
      <c r="K11" s="8" t="s">
        <v>14</v>
      </c>
    </row>
    <row r="12" spans="1:11" ht="18" customHeight="1" x14ac:dyDescent="0.2">
      <c r="A12" s="20" t="str">
        <f>OVERALL!A12</f>
        <v>DISCOVER</v>
      </c>
      <c r="B12" s="21">
        <f>IF(C16=0,"-",AVERAGE(B13:B15))</f>
        <v>0.33333333333333331</v>
      </c>
      <c r="C12" s="1" t="s">
        <v>1</v>
      </c>
      <c r="D12" s="29">
        <f>IF(D16=0,"-",(COUNTIF(D13:D15, "y")/D16)*OVERALL!$C$12)</f>
        <v>6.6666666666666666E-2</v>
      </c>
      <c r="E12" s="29" t="str">
        <f>IF(E16=0,"-",(COUNTIF(E13:E15, "y")/E16)*OVERALL!$C$12)</f>
        <v>-</v>
      </c>
      <c r="F12" s="29" t="str">
        <f>IF(F16=0,"-",(COUNTIF(F13:F15, "y")/F16)*OVERALL!$C$12)</f>
        <v>-</v>
      </c>
      <c r="G12" s="29" t="str">
        <f>IF(G16=0,"-",(COUNTIF(G13:G15, "y")/G16)*OVERALL!$C$12)</f>
        <v>-</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v>
      </c>
      <c r="C13" s="27">
        <f>$C$2-COUNTIF(D13:I13, "-")</f>
        <v>2</v>
      </c>
      <c r="D13" s="330" t="s">
        <v>123</v>
      </c>
      <c r="E13" s="300" t="s">
        <v>77</v>
      </c>
      <c r="F13" s="305" t="s">
        <v>77</v>
      </c>
      <c r="G13" s="318" t="s">
        <v>77</v>
      </c>
      <c r="H13" s="318" t="s">
        <v>77</v>
      </c>
      <c r="I13" s="337" t="s">
        <v>123</v>
      </c>
      <c r="K13" s="14" t="s">
        <v>4</v>
      </c>
    </row>
    <row r="14" spans="1:11" ht="18" customHeight="1" x14ac:dyDescent="0.25">
      <c r="A14" s="34" t="str">
        <f>OVERALL!A14</f>
        <v>LISTEN</v>
      </c>
      <c r="B14" s="3">
        <f>IF(C14=0,"-",COUNTIF(D14:I14,"y")/C14)</f>
        <v>1</v>
      </c>
      <c r="C14" s="27">
        <f>$C$2-COUNTIF(D14:I14, "-")</f>
        <v>2</v>
      </c>
      <c r="D14" s="330" t="s">
        <v>124</v>
      </c>
      <c r="E14" s="300" t="s">
        <v>77</v>
      </c>
      <c r="F14" s="305" t="s">
        <v>77</v>
      </c>
      <c r="G14" s="318" t="s">
        <v>77</v>
      </c>
      <c r="H14" s="318" t="s">
        <v>77</v>
      </c>
      <c r="I14" s="337" t="s">
        <v>124</v>
      </c>
      <c r="K14" s="9" t="s">
        <v>13</v>
      </c>
    </row>
    <row r="15" spans="1:11" ht="18" customHeight="1" x14ac:dyDescent="0.2">
      <c r="A15" s="34" t="str">
        <f>OVERALL!A15</f>
        <v>CONFIRM</v>
      </c>
      <c r="B15" s="3">
        <f>IF(C15=0,"-",COUNTIF(D15:I15,"y")/C15)</f>
        <v>0</v>
      </c>
      <c r="C15" s="27">
        <f>$C$2-COUNTIF(D15:I15, "-")</f>
        <v>2</v>
      </c>
      <c r="D15" s="330" t="s">
        <v>123</v>
      </c>
      <c r="E15" s="300" t="s">
        <v>77</v>
      </c>
      <c r="F15" s="305" t="s">
        <v>77</v>
      </c>
      <c r="G15" s="318" t="s">
        <v>77</v>
      </c>
      <c r="H15" s="318" t="s">
        <v>77</v>
      </c>
      <c r="I15" s="337" t="s">
        <v>123</v>
      </c>
      <c r="J15" t="s">
        <v>1</v>
      </c>
    </row>
    <row r="16" spans="1:11" ht="18" customHeight="1" x14ac:dyDescent="0.2">
      <c r="A16" s="2"/>
      <c r="C16" s="63">
        <f>AVERAGE(C13:C15)</f>
        <v>2</v>
      </c>
      <c r="D16" s="28">
        <f t="shared" ref="D16:I16" si="4">COUNTA(D13:D15)-COUNTIF(D13:D15, "-")</f>
        <v>3</v>
      </c>
      <c r="E16" s="28">
        <f t="shared" si="4"/>
        <v>0</v>
      </c>
      <c r="F16" s="28">
        <f t="shared" si="4"/>
        <v>0</v>
      </c>
      <c r="G16" s="28">
        <f t="shared" si="4"/>
        <v>0</v>
      </c>
      <c r="H16" s="28">
        <f t="shared" si="4"/>
        <v>0</v>
      </c>
      <c r="I16" s="28">
        <f t="shared" si="4"/>
        <v>3</v>
      </c>
      <c r="K16" s="15" t="s">
        <v>7</v>
      </c>
    </row>
    <row r="17" spans="1:14" ht="18" customHeight="1" x14ac:dyDescent="0.25">
      <c r="A17" s="20" t="str">
        <f>OVERALL!A17</f>
        <v>EDUCATE</v>
      </c>
      <c r="B17" s="21">
        <f>IF(C22=0,"-",AVERAGE(B18:B21))</f>
        <v>0.625</v>
      </c>
      <c r="C17" s="1" t="s">
        <v>1</v>
      </c>
      <c r="D17" s="30">
        <f>IF(D22=0,"-",(COUNTIF(D18:D21, "y")/D22)*OVERALL!$C$17)</f>
        <v>0.125</v>
      </c>
      <c r="E17" s="30" t="str">
        <f>IF(E22=0,"-",(COUNTIF(E18:E21, "y")/E22)*OVERALL!$C$17)</f>
        <v>-</v>
      </c>
      <c r="F17" s="30" t="str">
        <f>IF(F22=0,"-",(COUNTIF(F18:F21, "y")/F22)*OVERALL!$C$17)</f>
        <v>-</v>
      </c>
      <c r="G17" s="30" t="str">
        <f>IF(G22=0,"-",(COUNTIF(G18:G21, "y")/G22)*OVERALL!$C$17)</f>
        <v>-</v>
      </c>
      <c r="H17" s="30" t="str">
        <f>IF(H22=0,"-",(COUNTIF(H18:H21, "y")/H22)*OVERALL!$C$17)</f>
        <v>-</v>
      </c>
      <c r="I17" s="30">
        <f>IF(I22=0,"-",(COUNTIF(I18:I21, "y")/I22)*OVERALL!$C$17)</f>
        <v>0.1875</v>
      </c>
      <c r="K17" s="9" t="s">
        <v>6</v>
      </c>
    </row>
    <row r="18" spans="1:14" ht="18" customHeight="1" x14ac:dyDescent="0.2">
      <c r="A18" s="34" t="str">
        <f>OVERALL!A18</f>
        <v>INFORM</v>
      </c>
      <c r="B18" s="3">
        <f>IF(C18=0,"-",COUNTIF(D18:I18,"y")/C18)</f>
        <v>0.5</v>
      </c>
      <c r="C18" s="27">
        <f>$C$2-COUNTIF(D18:I18, "-")</f>
        <v>2</v>
      </c>
      <c r="D18" s="330" t="s">
        <v>123</v>
      </c>
      <c r="E18" s="300" t="s">
        <v>77</v>
      </c>
      <c r="F18" s="305" t="s">
        <v>77</v>
      </c>
      <c r="G18" s="318" t="s">
        <v>77</v>
      </c>
      <c r="H18" s="318" t="s">
        <v>77</v>
      </c>
      <c r="I18" s="337" t="s">
        <v>124</v>
      </c>
    </row>
    <row r="19" spans="1:14" ht="18" customHeight="1" x14ac:dyDescent="0.2">
      <c r="A19" s="34" t="str">
        <f>OVERALL!A19</f>
        <v>CHECK</v>
      </c>
      <c r="B19" s="3">
        <f>IF(C19=0,"-",COUNTIF(D19:I19,"y")/C19)</f>
        <v>0.5</v>
      </c>
      <c r="C19" s="27">
        <f>$C$2-COUNTIF(D19:I19, "-")</f>
        <v>2</v>
      </c>
      <c r="D19" s="330" t="s">
        <v>124</v>
      </c>
      <c r="E19" s="300" t="s">
        <v>77</v>
      </c>
      <c r="F19" s="305" t="s">
        <v>77</v>
      </c>
      <c r="G19" s="318" t="s">
        <v>77</v>
      </c>
      <c r="H19" s="318" t="s">
        <v>77</v>
      </c>
      <c r="I19" s="337" t="s">
        <v>123</v>
      </c>
    </row>
    <row r="20" spans="1:14" ht="18" customHeight="1" x14ac:dyDescent="0.2">
      <c r="A20" s="34" t="str">
        <f>OVERALL!A20</f>
        <v>SEEK</v>
      </c>
      <c r="B20" s="3">
        <f>IF(C20=0,"-",COUNTIF(D20:I20,"y")/C20)</f>
        <v>0.5</v>
      </c>
      <c r="C20" s="27">
        <f>$C$2-COUNTIF(D20:I20, "-")</f>
        <v>2</v>
      </c>
      <c r="D20" s="330" t="s">
        <v>123</v>
      </c>
      <c r="E20" s="300" t="s">
        <v>77</v>
      </c>
      <c r="F20" s="305" t="s">
        <v>77</v>
      </c>
      <c r="G20" s="318" t="s">
        <v>77</v>
      </c>
      <c r="H20" s="318" t="s">
        <v>77</v>
      </c>
      <c r="I20" s="337" t="s">
        <v>124</v>
      </c>
      <c r="K20" t="s">
        <v>1</v>
      </c>
    </row>
    <row r="21" spans="1:14" ht="18" customHeight="1" x14ac:dyDescent="0.2">
      <c r="A21" s="34" t="str">
        <f>OVERALL!A21</f>
        <v>CONFIDENCE</v>
      </c>
      <c r="B21" s="3">
        <f>IF(C21=0,"-",COUNTIF(D21:I21,"y")/C21)</f>
        <v>1</v>
      </c>
      <c r="C21" s="27">
        <f>$C$2-COUNTIF(D21:I21, "-")</f>
        <v>2</v>
      </c>
      <c r="D21" s="330" t="s">
        <v>124</v>
      </c>
      <c r="E21" s="300" t="s">
        <v>77</v>
      </c>
      <c r="F21" s="305" t="s">
        <v>77</v>
      </c>
      <c r="G21" s="318" t="s">
        <v>77</v>
      </c>
      <c r="H21" s="318" t="s">
        <v>77</v>
      </c>
      <c r="I21" s="337" t="s">
        <v>124</v>
      </c>
    </row>
    <row r="22" spans="1:14" ht="18" customHeight="1" x14ac:dyDescent="0.2">
      <c r="A22" s="2"/>
      <c r="C22" s="63">
        <f>AVERAGE(C18:C21)</f>
        <v>2</v>
      </c>
      <c r="D22" s="28">
        <f t="shared" ref="D22:I22" si="5">COUNTA(D18:D21)-COUNTIF(D18:D21, "-")</f>
        <v>4</v>
      </c>
      <c r="E22" s="28">
        <f t="shared" si="5"/>
        <v>0</v>
      </c>
      <c r="F22" s="28">
        <f t="shared" si="5"/>
        <v>0</v>
      </c>
      <c r="G22" s="28">
        <f t="shared" si="5"/>
        <v>0</v>
      </c>
      <c r="H22" s="28">
        <f t="shared" si="5"/>
        <v>0</v>
      </c>
      <c r="I22" s="28">
        <f t="shared" si="5"/>
        <v>4</v>
      </c>
    </row>
    <row r="23" spans="1:14" ht="18" customHeight="1" x14ac:dyDescent="0.2">
      <c r="A23" s="20" t="str">
        <f>OVERALL!A23</f>
        <v>CLOSE</v>
      </c>
      <c r="B23" s="21">
        <f>IF(C27=0,"-",AVERAGE(B24:B26))</f>
        <v>0.5</v>
      </c>
      <c r="C23" s="1" t="s">
        <v>1</v>
      </c>
      <c r="D23" s="30">
        <f>IF(D27=0,"-",(COUNTIF(D24:D26, "y")/D27)*OVERALL!$C$23)</f>
        <v>9.9999999999999992E-2</v>
      </c>
      <c r="E23" s="30" t="str">
        <f>IF(E27=0,"-",(COUNTIF(E24:E26, "y")/E27)*OVERALL!$C$23)</f>
        <v>-</v>
      </c>
      <c r="F23" s="30" t="str">
        <f>IF(F27=0,"-",(COUNTIF(F24:F26, "y")/F27)*OVERALL!$C$23)</f>
        <v>-</v>
      </c>
      <c r="G23" s="30" t="str">
        <f>IF(G27=0,"-",(COUNTIF(G24:G26, "y")/G27)*OVERALL!$C$23)</f>
        <v>-</v>
      </c>
      <c r="H23" s="30" t="str">
        <f>IF(H27=0,"-",(COUNTIF(H24:H26, "y")/H27)*OVERALL!$C$23)</f>
        <v>-</v>
      </c>
      <c r="I23" s="30">
        <f>IF(I27=0,"-",(COUNTIF(I24:I26, "y")/I27)*OVERALL!$C$23)</f>
        <v>4.9999999999999996E-2</v>
      </c>
    </row>
    <row r="24" spans="1:14" ht="18" customHeight="1" x14ac:dyDescent="0.2">
      <c r="A24" s="34" t="str">
        <f>OVERALL!A24</f>
        <v>QUESTIONS</v>
      </c>
      <c r="B24" s="3">
        <f>IF(C24=0,"-",COUNTIF(D24:I24,"y")/C24)</f>
        <v>0.5</v>
      </c>
      <c r="C24" s="27">
        <f>$C$2-COUNTIF(D24:I24, "-")</f>
        <v>2</v>
      </c>
      <c r="D24" s="330" t="s">
        <v>124</v>
      </c>
      <c r="E24" s="300" t="s">
        <v>77</v>
      </c>
      <c r="F24" s="305" t="s">
        <v>77</v>
      </c>
      <c r="G24" s="318" t="s">
        <v>77</v>
      </c>
      <c r="H24" s="318" t="s">
        <v>77</v>
      </c>
      <c r="I24" s="337" t="s">
        <v>123</v>
      </c>
    </row>
    <row r="25" spans="1:14" ht="18" customHeight="1" x14ac:dyDescent="0.2">
      <c r="A25" s="34" t="str">
        <f>OVERALL!A25</f>
        <v>GRATITUDE</v>
      </c>
      <c r="B25" s="3">
        <f>IF(C25=0,"-",COUNTIF(D25:I25,"y")/C25)</f>
        <v>0</v>
      </c>
      <c r="C25" s="27">
        <f>$C$2-COUNTIF(D25:I25, "-")</f>
        <v>2</v>
      </c>
      <c r="D25" s="330" t="s">
        <v>123</v>
      </c>
      <c r="E25" s="300" t="s">
        <v>77</v>
      </c>
      <c r="F25" s="305" t="s">
        <v>77</v>
      </c>
      <c r="G25" s="318" t="s">
        <v>77</v>
      </c>
      <c r="H25" s="318" t="s">
        <v>77</v>
      </c>
      <c r="I25" s="337" t="s">
        <v>123</v>
      </c>
    </row>
    <row r="26" spans="1:14" ht="18" customHeight="1" x14ac:dyDescent="0.2">
      <c r="A26" s="34" t="str">
        <f>OVERALL!A26</f>
        <v>THANKS</v>
      </c>
      <c r="B26" s="3">
        <f>IF(C26=0,"-",COUNTIF(D26:I26,"y")/C26)</f>
        <v>1</v>
      </c>
      <c r="C26" s="27">
        <f>$C$2-COUNTIF(D26:I26, "-")</f>
        <v>2</v>
      </c>
      <c r="D26" s="330" t="s">
        <v>124</v>
      </c>
      <c r="E26" s="300" t="s">
        <v>77</v>
      </c>
      <c r="F26" s="305" t="s">
        <v>77</v>
      </c>
      <c r="G26" s="318" t="s">
        <v>77</v>
      </c>
      <c r="H26" s="318" t="s">
        <v>77</v>
      </c>
      <c r="I26" s="337" t="s">
        <v>124</v>
      </c>
    </row>
    <row r="27" spans="1:14" ht="18" customHeight="1" x14ac:dyDescent="0.2">
      <c r="A27" s="2"/>
      <c r="C27" s="63">
        <f>AVERAGE(C24:C26)</f>
        <v>2</v>
      </c>
      <c r="D27" s="28">
        <f t="shared" ref="D27:I27" si="6">COUNTA(D24:D26)-COUNTIF(D24:D26, "-")</f>
        <v>3</v>
      </c>
      <c r="E27" s="28">
        <f t="shared" si="6"/>
        <v>0</v>
      </c>
      <c r="F27" s="28">
        <f t="shared" si="6"/>
        <v>0</v>
      </c>
      <c r="G27" s="28">
        <f t="shared" si="6"/>
        <v>0</v>
      </c>
      <c r="H27" s="28">
        <f t="shared" si="6"/>
        <v>0</v>
      </c>
      <c r="I27" s="28">
        <f t="shared" si="6"/>
        <v>3</v>
      </c>
    </row>
    <row r="28" spans="1:14" ht="18" customHeight="1" x14ac:dyDescent="0.2">
      <c r="A28" s="20" t="str">
        <f>OVERALL!A28</f>
        <v>IMPACT</v>
      </c>
      <c r="B28" s="21">
        <f>IF(C33=0,"-",AVERAGE(B29:B32))</f>
        <v>0.375</v>
      </c>
      <c r="C28" s="1" t="s">
        <v>1</v>
      </c>
      <c r="D28" s="30">
        <f>IF(D33=0,"-",(COUNTIF(D29:D32, "y")/D33)*OVERALL!$C$28)</f>
        <v>0.05</v>
      </c>
      <c r="E28" s="30" t="str">
        <f>IF(E33=0,"-",(COUNTIF(E29:E32, "y")/E33)*OVERALL!$C$28)</f>
        <v>-</v>
      </c>
      <c r="F28" s="30" t="str">
        <f>IF(F33=0,"-",(COUNTIF(F29:F32, "y")/F33)*OVERALL!$C$28)</f>
        <v>-</v>
      </c>
      <c r="G28" s="30" t="str">
        <f>IF(G33=0,"-",(COUNTIF(G29:G32, "y")/G33)*OVERALL!$C$28)</f>
        <v>-</v>
      </c>
      <c r="H28" s="30" t="str">
        <f>IF(H33=0,"-",(COUNTIF(H29:H32, "y")/H33)*OVERALL!$C$28)</f>
        <v>-</v>
      </c>
      <c r="I28" s="30">
        <f>IF(I33=0,"-",(COUNTIF(I29:I32, "y")/I33)*OVERALL!$C$28)</f>
        <v>0.1</v>
      </c>
    </row>
    <row r="29" spans="1:14" ht="18" customHeight="1" x14ac:dyDescent="0.2">
      <c r="A29" s="34" t="str">
        <f>OVERALL!A29</f>
        <v>VIBRANCY</v>
      </c>
      <c r="B29" s="3">
        <f>IF(C29=0,"-",COUNTIF(D29:I29,"y")/C29)</f>
        <v>1</v>
      </c>
      <c r="C29" s="27">
        <f>$C$2-COUNTIF(D29:I29, "-")</f>
        <v>2</v>
      </c>
      <c r="D29" s="330" t="s">
        <v>124</v>
      </c>
      <c r="E29" s="300" t="s">
        <v>77</v>
      </c>
      <c r="F29" s="305" t="s">
        <v>77</v>
      </c>
      <c r="G29" s="318" t="s">
        <v>77</v>
      </c>
      <c r="H29" s="318" t="s">
        <v>77</v>
      </c>
      <c r="I29" s="337" t="s">
        <v>124</v>
      </c>
    </row>
    <row r="30" spans="1:14" ht="18" customHeight="1" x14ac:dyDescent="0.2">
      <c r="A30" s="34" t="str">
        <f>OVERALL!A30</f>
        <v>EMPATHY</v>
      </c>
      <c r="B30" s="3">
        <f>IF(C30=0,"-",COUNTIF(D30:I30,"y")/C30)</f>
        <v>0.5</v>
      </c>
      <c r="C30" s="27">
        <f>$C$2-COUNTIF(D30:I30, "-")</f>
        <v>2</v>
      </c>
      <c r="D30" s="330" t="s">
        <v>123</v>
      </c>
      <c r="E30" s="300" t="s">
        <v>77</v>
      </c>
      <c r="F30" s="305" t="s">
        <v>77</v>
      </c>
      <c r="G30" s="318" t="s">
        <v>77</v>
      </c>
      <c r="H30" s="318" t="s">
        <v>77</v>
      </c>
      <c r="I30" s="337" t="s">
        <v>124</v>
      </c>
    </row>
    <row r="31" spans="1:14" ht="18" customHeight="1" x14ac:dyDescent="0.2">
      <c r="A31" s="34" t="str">
        <f>OVERALL!A31</f>
        <v>CONTROL</v>
      </c>
      <c r="B31" s="3">
        <f>IF(C31=0,"-",COUNTIF(D31:I31,"y")/C31)</f>
        <v>0</v>
      </c>
      <c r="C31" s="27">
        <f>$C$2-COUNTIF(D31:I31, "-")</f>
        <v>2</v>
      </c>
      <c r="D31" s="330" t="s">
        <v>123</v>
      </c>
      <c r="E31" s="300" t="s">
        <v>77</v>
      </c>
      <c r="F31" s="305" t="s">
        <v>77</v>
      </c>
      <c r="G31" s="318" t="s">
        <v>77</v>
      </c>
      <c r="H31" s="318" t="s">
        <v>77</v>
      </c>
      <c r="I31" s="337" t="s">
        <v>123</v>
      </c>
    </row>
    <row r="32" spans="1:14" ht="18" customHeight="1" x14ac:dyDescent="0.2">
      <c r="A32" s="34" t="str">
        <f>OVERALL!A32</f>
        <v>CLARITY</v>
      </c>
      <c r="B32" s="3">
        <f>IF(C32=0,"-",COUNTIF(D32:I32,"y")/C32)</f>
        <v>0</v>
      </c>
      <c r="C32" s="27">
        <f>$C$2-COUNTIF(D32:I32, "-")</f>
        <v>2</v>
      </c>
      <c r="D32" s="330" t="s">
        <v>123</v>
      </c>
      <c r="E32" s="300" t="s">
        <v>77</v>
      </c>
      <c r="F32" s="305" t="s">
        <v>77</v>
      </c>
      <c r="G32" s="318" t="s">
        <v>77</v>
      </c>
      <c r="H32" s="318" t="s">
        <v>77</v>
      </c>
      <c r="I32" s="337" t="s">
        <v>123</v>
      </c>
      <c r="N32" t="s">
        <v>1</v>
      </c>
    </row>
    <row r="33" spans="1:19" ht="18" customHeight="1" x14ac:dyDescent="0.2">
      <c r="A33" s="5"/>
      <c r="B33" s="6"/>
      <c r="C33" s="63">
        <f>AVERAGE(C29:C32)</f>
        <v>2</v>
      </c>
      <c r="D33" s="28">
        <f t="shared" ref="D33:I33" si="7">COUNTA(D29:D32)-COUNTIF(D29:D32, "-")</f>
        <v>4</v>
      </c>
      <c r="E33" s="28">
        <f t="shared" si="7"/>
        <v>0</v>
      </c>
      <c r="F33" s="28">
        <f t="shared" si="7"/>
        <v>0</v>
      </c>
      <c r="G33" s="28">
        <f t="shared" si="7"/>
        <v>0</v>
      </c>
      <c r="H33" s="28">
        <f t="shared" si="7"/>
        <v>0</v>
      </c>
      <c r="I33" s="28">
        <f t="shared" si="7"/>
        <v>4</v>
      </c>
    </row>
    <row r="34" spans="1:19"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9" ht="18" customHeight="1" x14ac:dyDescent="0.2">
      <c r="A35" s="45" t="str">
        <f>OVERALL!A35</f>
        <v>AUDIO ISSUE (MAJOR IMPACT)</v>
      </c>
      <c r="B35" s="3">
        <f>IF(C35=0,"-",COUNTIF(D35:I35,"y")/C35)</f>
        <v>0</v>
      </c>
      <c r="C35" s="27">
        <f>$C$2-COUNTIF(D35:I35, "-")</f>
        <v>2</v>
      </c>
      <c r="D35" s="330" t="s">
        <v>123</v>
      </c>
      <c r="E35" s="300" t="s">
        <v>77</v>
      </c>
      <c r="F35" s="305" t="s">
        <v>77</v>
      </c>
      <c r="G35" s="318" t="s">
        <v>77</v>
      </c>
      <c r="H35" s="318" t="s">
        <v>77</v>
      </c>
      <c r="I35" s="337" t="s">
        <v>123</v>
      </c>
      <c r="K35" s="48">
        <v>-0.3</v>
      </c>
      <c r="M35" s="48"/>
      <c r="N35" s="48"/>
      <c r="O35" s="48"/>
    </row>
    <row r="36" spans="1:19" ht="18" customHeight="1" x14ac:dyDescent="0.2">
      <c r="A36" s="45" t="str">
        <f>OVERALL!A36</f>
        <v>AUDIO ISSUE (DISTRACTION)</v>
      </c>
      <c r="B36" s="3">
        <f>IF(C36=0,"-",COUNTIF(D36:I36,"y")/C36)</f>
        <v>0</v>
      </c>
      <c r="C36" s="27">
        <f>$C$2-COUNTIF(D36:I36, "-")</f>
        <v>2</v>
      </c>
      <c r="D36" s="330" t="s">
        <v>123</v>
      </c>
      <c r="E36" s="300" t="s">
        <v>77</v>
      </c>
      <c r="F36" s="305" t="s">
        <v>77</v>
      </c>
      <c r="G36" s="318" t="s">
        <v>77</v>
      </c>
      <c r="H36" s="318" t="s">
        <v>77</v>
      </c>
      <c r="I36" s="337" t="s">
        <v>123</v>
      </c>
      <c r="K36" s="48">
        <v>-0.1</v>
      </c>
      <c r="M36" s="48"/>
      <c r="N36" s="48"/>
      <c r="O36" s="48"/>
    </row>
    <row r="37" spans="1:19" ht="18" customHeight="1" x14ac:dyDescent="0.2">
      <c r="A37" s="5"/>
      <c r="B37" s="6"/>
      <c r="C37" s="63">
        <f>C35</f>
        <v>2</v>
      </c>
      <c r="D37" s="28">
        <f t="shared" ref="D37:I37" si="9">IF(D35="NA","",COUNTIF(D35:D36, "y"))</f>
        <v>0</v>
      </c>
      <c r="E37" s="28">
        <f t="shared" si="9"/>
        <v>0</v>
      </c>
      <c r="F37" s="28">
        <f t="shared" si="9"/>
        <v>0</v>
      </c>
      <c r="G37" s="28">
        <f t="shared" si="9"/>
        <v>0</v>
      </c>
      <c r="H37" s="28">
        <f t="shared" si="9"/>
        <v>0</v>
      </c>
      <c r="I37" s="28">
        <f t="shared" si="9"/>
        <v>0</v>
      </c>
    </row>
    <row r="38" spans="1:19" ht="18" customHeight="1" x14ac:dyDescent="0.2">
      <c r="A38" s="384" t="str">
        <f>OVERALL!A38</f>
        <v>ADDITIONAL INSIGHT</v>
      </c>
      <c r="B38" s="385"/>
      <c r="C38" s="10" t="s">
        <v>1</v>
      </c>
      <c r="D38" s="31"/>
      <c r="E38" s="31"/>
      <c r="F38" s="31"/>
      <c r="G38" s="31"/>
      <c r="H38" s="31"/>
      <c r="I38" s="31"/>
    </row>
    <row r="39" spans="1:19" ht="18" customHeight="1" x14ac:dyDescent="0.2">
      <c r="A39" s="34" t="str">
        <f>OVERALL!A39</f>
        <v>CALL ANSWERED-QUALITY</v>
      </c>
      <c r="B39" s="3">
        <f>IF(C39=0,"-",COUNTIF(D39:I39, "y")/C39)</f>
        <v>0.33333333333333331</v>
      </c>
      <c r="C39" s="27">
        <f t="shared" ref="C39:C45" si="10">$C$2-COUNTIF(D39:I39, "-")</f>
        <v>6</v>
      </c>
      <c r="D39" s="332" t="s">
        <v>124</v>
      </c>
      <c r="E39" s="302" t="s">
        <v>123</v>
      </c>
      <c r="F39" s="307" t="s">
        <v>123</v>
      </c>
      <c r="G39" s="320" t="s">
        <v>123</v>
      </c>
      <c r="H39" s="320" t="s">
        <v>123</v>
      </c>
      <c r="I39" s="339" t="s">
        <v>124</v>
      </c>
    </row>
    <row r="40" spans="1:19" ht="18" customHeight="1" x14ac:dyDescent="0.2">
      <c r="A40" s="34" t="str">
        <f>OVERALL!A40</f>
        <v>TALK TIME</v>
      </c>
      <c r="B40" s="275">
        <f>IF(C40=0,"-",AVERAGE(D40:I40))</f>
        <v>4.9479166666666664E-3</v>
      </c>
      <c r="C40" s="27">
        <f t="shared" si="10"/>
        <v>2</v>
      </c>
      <c r="D40" s="275">
        <v>4.31712962962963E-3</v>
      </c>
      <c r="E40" s="303" t="s">
        <v>77</v>
      </c>
      <c r="F40" s="308" t="s">
        <v>77</v>
      </c>
      <c r="G40" s="321" t="s">
        <v>77</v>
      </c>
      <c r="H40" s="321" t="s">
        <v>77</v>
      </c>
      <c r="I40" s="275">
        <v>5.5787037037037038E-3</v>
      </c>
      <c r="J40" s="46"/>
      <c r="K40" s="274"/>
      <c r="L40" s="274"/>
      <c r="M40" s="274"/>
      <c r="N40" s="274"/>
      <c r="O40" s="274"/>
      <c r="P40" s="274"/>
      <c r="Q40" s="274"/>
      <c r="R40" s="274"/>
      <c r="S40" s="274"/>
    </row>
    <row r="41" spans="1:19" ht="18" customHeight="1" x14ac:dyDescent="0.2">
      <c r="A41" s="34" t="str">
        <f>OVERALL!A41</f>
        <v>ASSESSOR RATING (0-10)</v>
      </c>
      <c r="B41" s="22">
        <f>IF(C41=0,"-",SUM(D41:I41)/C41)</f>
        <v>4</v>
      </c>
      <c r="C41" s="27">
        <f t="shared" si="10"/>
        <v>2</v>
      </c>
      <c r="D41" s="266">
        <v>4</v>
      </c>
      <c r="E41" s="304" t="s">
        <v>77</v>
      </c>
      <c r="F41" s="309" t="s">
        <v>77</v>
      </c>
      <c r="G41" s="322" t="s">
        <v>77</v>
      </c>
      <c r="H41" s="322" t="s">
        <v>77</v>
      </c>
      <c r="I41" s="266">
        <v>4</v>
      </c>
    </row>
    <row r="42" spans="1:19" ht="18" customHeight="1" x14ac:dyDescent="0.2">
      <c r="A42" s="34" t="str">
        <f>OVERALL!A42</f>
        <v>EXPLAINED KEY FEATURES</v>
      </c>
      <c r="B42" s="3">
        <f>IF(C42=0,"-",COUNTIF(D42:I42, "y")/C42)</f>
        <v>0.5</v>
      </c>
      <c r="C42" s="27">
        <f t="shared" si="10"/>
        <v>2</v>
      </c>
      <c r="D42" s="330" t="s">
        <v>124</v>
      </c>
      <c r="E42" s="300" t="s">
        <v>77</v>
      </c>
      <c r="F42" s="310" t="s">
        <v>77</v>
      </c>
      <c r="G42" s="323" t="s">
        <v>77</v>
      </c>
      <c r="H42" s="323" t="s">
        <v>77</v>
      </c>
      <c r="I42" s="337" t="s">
        <v>123</v>
      </c>
      <c r="J42" s="47"/>
      <c r="K42" t="s">
        <v>1</v>
      </c>
    </row>
    <row r="43" spans="1:19" ht="18" customHeight="1" x14ac:dyDescent="0.2">
      <c r="A43" s="34" t="str">
        <f>OVERALL!A43</f>
        <v>REVEALED PRICING</v>
      </c>
      <c r="B43" s="3">
        <f>IF(C43=0,"-",COUNTIF(D43:I43, "y")/C43)</f>
        <v>1</v>
      </c>
      <c r="C43" s="27">
        <f t="shared" si="10"/>
        <v>2</v>
      </c>
      <c r="D43" s="330" t="s">
        <v>124</v>
      </c>
      <c r="E43" s="300" t="s">
        <v>77</v>
      </c>
      <c r="F43" s="310" t="s">
        <v>77</v>
      </c>
      <c r="G43" s="323" t="s">
        <v>77</v>
      </c>
      <c r="H43" s="323" t="s">
        <v>77</v>
      </c>
      <c r="I43" s="337" t="s">
        <v>124</v>
      </c>
    </row>
    <row r="44" spans="1:19" ht="18" customHeight="1" x14ac:dyDescent="0.2">
      <c r="A44" s="34" t="str">
        <f>OVERALL!A44</f>
        <v>EXPLAINED ACTIONS &amp; PROCESS</v>
      </c>
      <c r="B44" s="3">
        <f>IF(C44=0,"-",COUNTIF(D44:I44, "y")/C44)</f>
        <v>1</v>
      </c>
      <c r="C44" s="27">
        <f t="shared" si="10"/>
        <v>2</v>
      </c>
      <c r="D44" s="330" t="s">
        <v>124</v>
      </c>
      <c r="E44" s="300" t="s">
        <v>77</v>
      </c>
      <c r="F44" s="310" t="s">
        <v>77</v>
      </c>
      <c r="G44" s="323" t="s">
        <v>77</v>
      </c>
      <c r="H44" s="323" t="s">
        <v>77</v>
      </c>
      <c r="I44" s="337" t="s">
        <v>124</v>
      </c>
    </row>
    <row r="45" spans="1:19" ht="18" customHeight="1" x14ac:dyDescent="0.2">
      <c r="A45" s="34" t="str">
        <f>OVERALL!A45</f>
        <v>WEBSITE EDUCATION</v>
      </c>
      <c r="B45" s="3">
        <f>IF(C45=0,"-",COUNTIF(D45:I45, "y")/C45)</f>
        <v>0.5</v>
      </c>
      <c r="C45" s="27">
        <f t="shared" si="10"/>
        <v>2</v>
      </c>
      <c r="D45" s="330" t="s">
        <v>124</v>
      </c>
      <c r="E45" s="300" t="s">
        <v>77</v>
      </c>
      <c r="F45" s="310" t="s">
        <v>77</v>
      </c>
      <c r="G45" s="323" t="s">
        <v>77</v>
      </c>
      <c r="H45" s="323" t="s">
        <v>77</v>
      </c>
      <c r="I45" s="337" t="s">
        <v>123</v>
      </c>
    </row>
    <row r="46" spans="1:19" ht="18" customHeight="1" x14ac:dyDescent="0.2">
      <c r="A46" s="18"/>
      <c r="B46" s="3"/>
      <c r="C46" s="27"/>
      <c r="D46" s="268"/>
      <c r="E46" s="268"/>
      <c r="F46" s="268"/>
      <c r="G46" s="268"/>
      <c r="H46" s="268"/>
      <c r="I46" s="268"/>
    </row>
    <row r="47" spans="1:19" ht="195" x14ac:dyDescent="0.2">
      <c r="A47" s="26" t="s">
        <v>1</v>
      </c>
      <c r="B47" s="386" t="s">
        <v>35</v>
      </c>
      <c r="C47" s="387"/>
      <c r="D47" s="24" t="s">
        <v>179</v>
      </c>
      <c r="E47" s="24" t="s">
        <v>125</v>
      </c>
      <c r="F47" s="24" t="s">
        <v>125</v>
      </c>
      <c r="G47" s="24" t="s">
        <v>125</v>
      </c>
      <c r="H47" s="24" t="s">
        <v>125</v>
      </c>
      <c r="I47" s="24" t="s">
        <v>190</v>
      </c>
    </row>
    <row r="48" spans="1:19" ht="18" customHeight="1" x14ac:dyDescent="0.2">
      <c r="A48" s="59" t="s">
        <v>47</v>
      </c>
      <c r="D48" s="50">
        <f t="shared" ref="D48:I48" si="11">IF(D$2="","",IF(D$39="n", "", SUM(D$6,D$12,D$17,D$23,D$28,D$34)))</f>
        <v>0.39166666666666666</v>
      </c>
      <c r="E48" s="50" t="str">
        <f t="shared" si="11"/>
        <v/>
      </c>
      <c r="F48" s="50" t="str">
        <f t="shared" si="11"/>
        <v/>
      </c>
      <c r="G48" s="50" t="str">
        <f t="shared" si="11"/>
        <v/>
      </c>
      <c r="H48" s="50" t="str">
        <f t="shared" si="11"/>
        <v/>
      </c>
      <c r="I48" s="50">
        <f t="shared" si="11"/>
        <v>0.45416666666666672</v>
      </c>
    </row>
    <row r="50" spans="1:9" ht="19" x14ac:dyDescent="0.25">
      <c r="A50" s="110" t="s">
        <v>74</v>
      </c>
      <c r="B50" s="90" t="s">
        <v>75</v>
      </c>
    </row>
    <row r="51" spans="1:9" x14ac:dyDescent="0.2">
      <c r="A51" s="111" t="s">
        <v>63</v>
      </c>
      <c r="B51" s="112">
        <v>0.3</v>
      </c>
      <c r="C51" s="111"/>
      <c r="D51" s="256">
        <f>[1]BENDIGO!D$4</f>
        <v>0.7008928571428571</v>
      </c>
      <c r="E51" s="256">
        <f>[1]BENDIGO!E$4</f>
        <v>0.1696428571428571</v>
      </c>
      <c r="F51" s="256">
        <f>[1]BENDIGO!F$4</f>
        <v>0.1026785714285714</v>
      </c>
      <c r="G51" s="256">
        <f>[1]BENDIGO!G$4</f>
        <v>0.1696428571428571</v>
      </c>
      <c r="H51" s="256">
        <f>[1]BENDIGO!H$4</f>
        <v>0.1026785714285714</v>
      </c>
      <c r="I51" s="256">
        <f>[1]BENDIGO!I$4</f>
        <v>0.84375</v>
      </c>
    </row>
    <row r="52" spans="1:9" x14ac:dyDescent="0.2">
      <c r="A52" s="111" t="s">
        <v>64</v>
      </c>
      <c r="B52" s="112">
        <v>0.7</v>
      </c>
      <c r="C52" s="111"/>
      <c r="D52" s="257">
        <f t="shared" ref="D52:I52" si="12">D4</f>
        <v>0.39166666666666666</v>
      </c>
      <c r="E52" s="257" t="str">
        <f t="shared" si="12"/>
        <v>-</v>
      </c>
      <c r="F52" s="257" t="str">
        <f t="shared" si="12"/>
        <v>-</v>
      </c>
      <c r="G52" s="257" t="str">
        <f t="shared" si="12"/>
        <v>-</v>
      </c>
      <c r="H52" s="257" t="str">
        <f t="shared" si="12"/>
        <v>-</v>
      </c>
      <c r="I52" s="257">
        <f t="shared" si="12"/>
        <v>0.45416666666666672</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0.21026785714285712</v>
      </c>
      <c r="E55" s="257">
        <f t="shared" ref="E55:I55" si="13">IF(E51="-","-",E51*$B$51)</f>
        <v>5.0892857142857129E-2</v>
      </c>
      <c r="F55" s="257">
        <f t="shared" si="13"/>
        <v>3.0803571428571416E-2</v>
      </c>
      <c r="G55" s="257">
        <f t="shared" si="13"/>
        <v>5.0892857142857129E-2</v>
      </c>
      <c r="H55" s="257">
        <f t="shared" si="13"/>
        <v>3.0803571428571416E-2</v>
      </c>
      <c r="I55" s="257">
        <f t="shared" si="13"/>
        <v>0.25312499999999999</v>
      </c>
    </row>
    <row r="56" spans="1:9" x14ac:dyDescent="0.2">
      <c r="A56" s="111" t="s">
        <v>64</v>
      </c>
      <c r="B56" s="111"/>
      <c r="C56" s="111"/>
      <c r="D56" s="257">
        <f t="shared" ref="D56:I56" si="14">IF(D52="-","-",D52*$B$52)</f>
        <v>0.27416666666666667</v>
      </c>
      <c r="E56" s="257" t="str">
        <f t="shared" si="14"/>
        <v>-</v>
      </c>
      <c r="F56" s="257" t="str">
        <f t="shared" si="14"/>
        <v>-</v>
      </c>
      <c r="G56" s="257" t="str">
        <f t="shared" si="14"/>
        <v>-</v>
      </c>
      <c r="H56" s="257" t="str">
        <f t="shared" si="14"/>
        <v>-</v>
      </c>
      <c r="I56" s="257">
        <f t="shared" si="14"/>
        <v>0.31791666666666668</v>
      </c>
    </row>
    <row r="57" spans="1:9" x14ac:dyDescent="0.2">
      <c r="A57" s="114" t="s">
        <v>59</v>
      </c>
      <c r="B57" s="114"/>
      <c r="C57" s="114"/>
      <c r="D57" s="115">
        <f t="shared" ref="D57:I57" si="15">IF(D51="","",IF(D52="","",SUM(D55:D56)))</f>
        <v>0.48443452380952379</v>
      </c>
      <c r="E57" s="115">
        <f t="shared" si="15"/>
        <v>5.0892857142857129E-2</v>
      </c>
      <c r="F57" s="115">
        <f t="shared" si="15"/>
        <v>3.0803571428571416E-2</v>
      </c>
      <c r="G57" s="115">
        <f t="shared" si="15"/>
        <v>5.0892857142857129E-2</v>
      </c>
      <c r="H57" s="115">
        <f t="shared" si="15"/>
        <v>3.0803571428571416E-2</v>
      </c>
      <c r="I57" s="115">
        <f t="shared" si="15"/>
        <v>0.57104166666666667</v>
      </c>
    </row>
  </sheetData>
  <mergeCells count="2">
    <mergeCell ref="A38:B38"/>
    <mergeCell ref="B47:C47"/>
  </mergeCells>
  <conditionalFormatting sqref="B4">
    <cfRule type="containsBlanks" dxfId="118" priority="6">
      <formula>LEN(TRIM(B4))=0</formula>
    </cfRule>
    <cfRule type="cellIs" dxfId="117" priority="7" operator="greaterThanOrEqual">
      <formula>0.905</formula>
    </cfRule>
    <cfRule type="cellIs" dxfId="116" priority="8" operator="between">
      <formula>0.754999</formula>
      <formula>0.905</formula>
    </cfRule>
    <cfRule type="cellIs" dxfId="115" priority="9" operator="between">
      <formula>0.604999</formula>
      <formula>0.754999</formula>
    </cfRule>
    <cfRule type="cellIs" dxfId="114" priority="10" operator="between">
      <formula>0.44999</formula>
      <formula>0.605</formula>
    </cfRule>
    <cfRule type="cellIs" dxfId="113" priority="11" operator="lessThan">
      <formula>0.45</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80" zoomScaleNormal="80" workbookViewId="0">
      <pane xSplit="3" ySplit="6" topLeftCell="D7" activePane="bottomRight" state="frozen"/>
      <selection activeCell="F39" sqref="F39:F47"/>
      <selection pane="topRight" activeCell="F39" sqref="F39:F47"/>
      <selection pane="bottomLeft" activeCell="F39" sqref="F39:F47"/>
      <selection pane="bottomRight" activeCell="B4" sqref="B4"/>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31" t="s">
        <v>176</v>
      </c>
      <c r="E2" s="301" t="s">
        <v>129</v>
      </c>
      <c r="F2" s="306" t="s">
        <v>136</v>
      </c>
      <c r="G2" s="312" t="s">
        <v>146</v>
      </c>
      <c r="H2" s="325" t="s">
        <v>136</v>
      </c>
      <c r="I2" s="338" t="s">
        <v>191</v>
      </c>
    </row>
    <row r="3" spans="1:11" ht="19" x14ac:dyDescent="0.2">
      <c r="A3" s="33" t="str">
        <f>OVERALL!F1</f>
        <v>CBA</v>
      </c>
      <c r="B3" s="248">
        <f>OVERALL!F3</f>
        <v>0.488875</v>
      </c>
      <c r="C3" s="108" t="s">
        <v>73</v>
      </c>
      <c r="D3" s="109">
        <f>IF(D2="-","-",D57)</f>
        <v>0.55080952380952375</v>
      </c>
      <c r="E3" s="109">
        <f t="shared" ref="E3:I3" si="0">IF(E2="-","-",E57)</f>
        <v>0.61104761904761884</v>
      </c>
      <c r="F3" s="109">
        <f t="shared" si="0"/>
        <v>0.45804166666666668</v>
      </c>
      <c r="G3" s="109">
        <f t="shared" si="0"/>
        <v>0.5092916666666667</v>
      </c>
      <c r="H3" s="109">
        <f t="shared" si="0"/>
        <v>0.45804166666666668</v>
      </c>
      <c r="I3" s="109">
        <f t="shared" si="0"/>
        <v>0.3460178571428571</v>
      </c>
    </row>
    <row r="4" spans="1:11" ht="18" customHeight="1" x14ac:dyDescent="0.2">
      <c r="A4" s="17" t="str">
        <f>OVERALL!A4</f>
        <v>QUALITY SCORE</v>
      </c>
      <c r="B4" s="38">
        <f>IF(C2=0, "-", IF(COUNTIF(D39:I39, "n")=C2, "-", IF(COUNT(D4:I4)=0, "-", AVERAGE(D4:I4))))</f>
        <v>0.5625</v>
      </c>
      <c r="C4" s="58" t="s">
        <v>1</v>
      </c>
      <c r="D4" s="38">
        <f>IF(D48&lt;0%,0%,IF(D$2="-","-",IF(D$39="n", "-", SUM(D$6,D$12,D$17,D$23,D$28,D$34))))</f>
        <v>0.65416666666666667</v>
      </c>
      <c r="E4" s="38">
        <f t="shared" ref="E4:I4" si="1">IF(E48&lt;0%,0%,IF(E$2="-","-",IF(E$39="n", "-", SUM(E$6,E$12,E$17,E$23,E$28,E$34))))</f>
        <v>0.77083333333333326</v>
      </c>
      <c r="F4" s="38">
        <f t="shared" si="1"/>
        <v>0.4916666666666667</v>
      </c>
      <c r="G4" s="38">
        <f t="shared" si="1"/>
        <v>0.59166666666666667</v>
      </c>
      <c r="H4" s="38">
        <f t="shared" si="1"/>
        <v>0.4916666666666667</v>
      </c>
      <c r="I4" s="38">
        <f t="shared" si="1"/>
        <v>0.375</v>
      </c>
      <c r="K4" s="12" t="s">
        <v>8</v>
      </c>
    </row>
    <row r="5" spans="1:11" ht="18" customHeight="1" x14ac:dyDescent="0.25">
      <c r="A5" s="57" t="s">
        <v>48</v>
      </c>
      <c r="B5" s="58">
        <f>IF(B6="-","-",AVERAGE(D5:I5))</f>
        <v>0.5625</v>
      </c>
      <c r="C5" s="58" t="s">
        <v>1</v>
      </c>
      <c r="D5" s="60">
        <f t="shared" ref="D5:I5" si="2">IF(D$2="","",IF(D$39="n", "", SUM(D$6,D$12,D$17,D$23,D$28)))</f>
        <v>0.65416666666666667</v>
      </c>
      <c r="E5" s="60">
        <f t="shared" si="2"/>
        <v>0.77083333333333326</v>
      </c>
      <c r="F5" s="60">
        <f t="shared" si="2"/>
        <v>0.4916666666666667</v>
      </c>
      <c r="G5" s="60">
        <f t="shared" si="2"/>
        <v>0.59166666666666667</v>
      </c>
      <c r="H5" s="60">
        <f t="shared" si="2"/>
        <v>0.4916666666666667</v>
      </c>
      <c r="I5" s="60">
        <f t="shared" si="2"/>
        <v>0.375</v>
      </c>
      <c r="K5" s="7" t="s">
        <v>16</v>
      </c>
    </row>
    <row r="6" spans="1:11" ht="18" customHeight="1" x14ac:dyDescent="0.2">
      <c r="A6" s="20" t="str">
        <f>OVERALL!A6</f>
        <v>ENGAGE</v>
      </c>
      <c r="B6" s="21">
        <f>IF(C11=0,"-",AVERAGE(B7:B10))</f>
        <v>0.5</v>
      </c>
      <c r="C6" s="61" t="s">
        <v>0</v>
      </c>
      <c r="D6" s="29">
        <f>IF(D11=0,"-",(COUNTIF(D7:D10, "y")/D11)*OVERALL!$C$6)</f>
        <v>0.1</v>
      </c>
      <c r="E6" s="29">
        <f>IF(E11=0,"-",(COUNTIF(E7:E10, "y")/E11)*OVERALL!$C$6)</f>
        <v>0.15000000000000002</v>
      </c>
      <c r="F6" s="29">
        <f>IF(F11=0,"-",(COUNTIF(F7:F10, "y")/F11)*OVERALL!$C$6)</f>
        <v>0.1</v>
      </c>
      <c r="G6" s="29">
        <f>IF(G11=0,"-",(COUNTIF(G7:G10, "y")/G11)*OVERALL!$C$6)</f>
        <v>0.1</v>
      </c>
      <c r="H6" s="29">
        <f>IF(H11=0,"-",(COUNTIF(H7:H10, "y")/H11)*OVERALL!$C$6)</f>
        <v>0.1</v>
      </c>
      <c r="I6" s="29">
        <f>IF(I11=0,"-",(COUNTIF(I7:I10, "y")/I11)*OVERALL!$C$6)</f>
        <v>0.05</v>
      </c>
    </row>
    <row r="7" spans="1:11" ht="18" customHeight="1" x14ac:dyDescent="0.2">
      <c r="A7" s="34" t="str">
        <f>OVERALL!A7</f>
        <v>WELCOME</v>
      </c>
      <c r="B7" s="3">
        <f>IF(C7=0,"-",COUNTIF(D7:I7,"y")/C7)</f>
        <v>0.5</v>
      </c>
      <c r="C7" s="27">
        <f>$C$2-COUNTIF(D7:I7, "-")</f>
        <v>6</v>
      </c>
      <c r="D7" s="330" t="s">
        <v>124</v>
      </c>
      <c r="E7" s="300" t="s">
        <v>124</v>
      </c>
      <c r="F7" s="305" t="s">
        <v>123</v>
      </c>
      <c r="G7" s="311" t="s">
        <v>123</v>
      </c>
      <c r="H7" s="324" t="s">
        <v>123</v>
      </c>
      <c r="I7" s="337" t="s">
        <v>124</v>
      </c>
      <c r="K7" s="11" t="s">
        <v>2</v>
      </c>
    </row>
    <row r="8" spans="1:11" ht="18" customHeight="1" x14ac:dyDescent="0.25">
      <c r="A8" s="34" t="str">
        <f>OVERALL!A8</f>
        <v>INTENT</v>
      </c>
      <c r="B8" s="3">
        <f>IF(C8=0,"-",COUNTIF(D8:I8,"y")/C8)</f>
        <v>0.66666666666666663</v>
      </c>
      <c r="C8" s="27">
        <f>$C$2-COUNTIF(D8:I8, "-")</f>
        <v>6</v>
      </c>
      <c r="D8" s="330" t="s">
        <v>123</v>
      </c>
      <c r="E8" s="300" t="s">
        <v>124</v>
      </c>
      <c r="F8" s="305" t="s">
        <v>124</v>
      </c>
      <c r="G8" s="311" t="s">
        <v>124</v>
      </c>
      <c r="H8" s="324" t="s">
        <v>124</v>
      </c>
      <c r="I8" s="337" t="s">
        <v>123</v>
      </c>
      <c r="K8" s="7" t="s">
        <v>15</v>
      </c>
    </row>
    <row r="9" spans="1:11" ht="18" customHeight="1" x14ac:dyDescent="0.2">
      <c r="A9" s="34" t="str">
        <f>OVERALL!A9</f>
        <v>NAME</v>
      </c>
      <c r="B9" s="3">
        <f>IF(C9=0,"-",COUNTIF(D9:I9,"y")/C9)</f>
        <v>0.83333333333333337</v>
      </c>
      <c r="C9" s="27">
        <f>$C$2-COUNTIF(D9:I9, "-")</f>
        <v>6</v>
      </c>
      <c r="D9" s="330" t="s">
        <v>124</v>
      </c>
      <c r="E9" s="300" t="s">
        <v>124</v>
      </c>
      <c r="F9" s="305" t="s">
        <v>124</v>
      </c>
      <c r="G9" s="311" t="s">
        <v>124</v>
      </c>
      <c r="H9" s="324" t="s">
        <v>124</v>
      </c>
      <c r="I9" s="337" t="s">
        <v>123</v>
      </c>
      <c r="K9" t="s">
        <v>1</v>
      </c>
    </row>
    <row r="10" spans="1:11" ht="18" customHeight="1" x14ac:dyDescent="0.2">
      <c r="A10" s="34" t="str">
        <f>OVERALL!A10</f>
        <v>BRIDGE</v>
      </c>
      <c r="B10" s="3">
        <f>IF(C10=0,"-",COUNTIF(D10:I10,"y")/C10)</f>
        <v>0</v>
      </c>
      <c r="C10" s="27">
        <f>$C$2-COUNTIF(D10:I10, "-")</f>
        <v>6</v>
      </c>
      <c r="D10" s="330" t="s">
        <v>123</v>
      </c>
      <c r="E10" s="300" t="s">
        <v>123</v>
      </c>
      <c r="F10" s="305" t="s">
        <v>123</v>
      </c>
      <c r="G10" s="311" t="s">
        <v>123</v>
      </c>
      <c r="H10" s="324" t="s">
        <v>123</v>
      </c>
      <c r="I10" s="337" t="s">
        <v>123</v>
      </c>
      <c r="K10" s="13" t="s">
        <v>3</v>
      </c>
    </row>
    <row r="11" spans="1:11" ht="18" customHeight="1" x14ac:dyDescent="0.25">
      <c r="A11" s="2"/>
      <c r="C11" s="63">
        <f>AVERAGE(C7:C10)</f>
        <v>6</v>
      </c>
      <c r="D11" s="28">
        <f t="shared" ref="D11:I11" si="3">COUNTA(D7:D10)-COUNTIF(D7:D10, "-")</f>
        <v>4</v>
      </c>
      <c r="E11" s="28">
        <f t="shared" si="3"/>
        <v>4</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0.33333333333333331</v>
      </c>
      <c r="C12" s="1" t="s">
        <v>1</v>
      </c>
      <c r="D12" s="29">
        <f>IF(D16=0,"-",(COUNTIF(D13:D15, "y")/D16)*OVERALL!$C$12)</f>
        <v>6.6666666666666666E-2</v>
      </c>
      <c r="E12" s="29">
        <f>IF(E16=0,"-",(COUNTIF(E13:E15, "y")/E16)*OVERALL!$C$12)</f>
        <v>0.13333333333333333</v>
      </c>
      <c r="F12" s="29">
        <f>IF(F16=0,"-",(COUNTIF(F13:F15, "y")/F16)*OVERALL!$C$12)</f>
        <v>6.6666666666666666E-2</v>
      </c>
      <c r="G12" s="29">
        <f>IF(G16=0,"-",(COUNTIF(G13:G15, "y")/G16)*OVERALL!$C$12)</f>
        <v>6.6666666666666666E-2</v>
      </c>
      <c r="H12" s="29">
        <f>IF(H16=0,"-",(COUNTIF(H13:H15, "y")/H16)*OVERALL!$C$12)</f>
        <v>6.6666666666666666E-2</v>
      </c>
      <c r="I12" s="29">
        <f>IF(I16=0,"-",(COUNTIF(I13:I15, "y")/I16)*OVERALL!$C$12)</f>
        <v>0</v>
      </c>
      <c r="K12" t="s">
        <v>1</v>
      </c>
    </row>
    <row r="13" spans="1:11" ht="18" customHeight="1" x14ac:dyDescent="0.2">
      <c r="A13" s="34" t="str">
        <f>OVERALL!A13</f>
        <v>CONVERSE</v>
      </c>
      <c r="B13" s="3">
        <f>IF(C13=0,"-",COUNTIF(D13:I13,"y")/C13)</f>
        <v>0</v>
      </c>
      <c r="C13" s="27">
        <f>$C$2-COUNTIF(D13:I13, "-")</f>
        <v>6</v>
      </c>
      <c r="D13" s="330" t="s">
        <v>123</v>
      </c>
      <c r="E13" s="300" t="s">
        <v>123</v>
      </c>
      <c r="F13" s="305" t="s">
        <v>123</v>
      </c>
      <c r="G13" s="311" t="s">
        <v>123</v>
      </c>
      <c r="H13" s="324" t="s">
        <v>123</v>
      </c>
      <c r="I13" s="337" t="s">
        <v>123</v>
      </c>
      <c r="K13" s="14" t="s">
        <v>4</v>
      </c>
    </row>
    <row r="14" spans="1:11" ht="18" customHeight="1" x14ac:dyDescent="0.25">
      <c r="A14" s="34" t="str">
        <f>OVERALL!A14</f>
        <v>LISTEN</v>
      </c>
      <c r="B14" s="3">
        <f>IF(C14=0,"-",COUNTIF(D14:I14,"y")/C14)</f>
        <v>0.83333333333333337</v>
      </c>
      <c r="C14" s="27">
        <f>$C$2-COUNTIF(D14:I14, "-")</f>
        <v>6</v>
      </c>
      <c r="D14" s="330" t="s">
        <v>124</v>
      </c>
      <c r="E14" s="300" t="s">
        <v>124</v>
      </c>
      <c r="F14" s="305" t="s">
        <v>124</v>
      </c>
      <c r="G14" s="311" t="s">
        <v>124</v>
      </c>
      <c r="H14" s="324" t="s">
        <v>124</v>
      </c>
      <c r="I14" s="337" t="s">
        <v>123</v>
      </c>
      <c r="K14" s="9" t="s">
        <v>13</v>
      </c>
    </row>
    <row r="15" spans="1:11" ht="18" customHeight="1" x14ac:dyDescent="0.2">
      <c r="A15" s="34" t="str">
        <f>OVERALL!A15</f>
        <v>CONFIRM</v>
      </c>
      <c r="B15" s="3">
        <f>IF(C15=0,"-",COUNTIF(D15:I15,"y")/C15)</f>
        <v>0.16666666666666666</v>
      </c>
      <c r="C15" s="27">
        <f>$C$2-COUNTIF(D15:I15, "-")</f>
        <v>6</v>
      </c>
      <c r="D15" s="330" t="s">
        <v>123</v>
      </c>
      <c r="E15" s="300" t="s">
        <v>124</v>
      </c>
      <c r="F15" s="305" t="s">
        <v>123</v>
      </c>
      <c r="G15" s="311" t="s">
        <v>123</v>
      </c>
      <c r="H15" s="324" t="s">
        <v>123</v>
      </c>
      <c r="I15" s="337" t="s">
        <v>123</v>
      </c>
      <c r="J15" t="s">
        <v>1</v>
      </c>
    </row>
    <row r="16" spans="1:11" ht="18" customHeight="1" x14ac:dyDescent="0.2">
      <c r="A16" s="2"/>
      <c r="C16" s="63">
        <f>AVERAGE(C13:C15)</f>
        <v>6</v>
      </c>
      <c r="D16" s="28">
        <f t="shared" ref="D16:I16" si="4">COUNTA(D13:D15)-COUNTIF(D13:D15, "-")</f>
        <v>3</v>
      </c>
      <c r="E16" s="28">
        <f t="shared" si="4"/>
        <v>3</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0.58333333333333326</v>
      </c>
      <c r="C17" s="1" t="s">
        <v>1</v>
      </c>
      <c r="D17" s="30">
        <f>IF(D22=0,"-",(COUNTIF(D18:D21, "y")/D22)*OVERALL!$C$17)</f>
        <v>0.1875</v>
      </c>
      <c r="E17" s="30">
        <f>IF(E22=0,"-",(COUNTIF(E18:E21, "y")/E22)*OVERALL!$C$17)</f>
        <v>0.1875</v>
      </c>
      <c r="F17" s="30">
        <f>IF(F22=0,"-",(COUNTIF(F18:F21, "y")/F22)*OVERALL!$C$17)</f>
        <v>0.125</v>
      </c>
      <c r="G17" s="30">
        <f>IF(G22=0,"-",(COUNTIF(G18:G21, "y")/G22)*OVERALL!$C$17)</f>
        <v>0.125</v>
      </c>
      <c r="H17" s="30">
        <f>IF(H22=0,"-",(COUNTIF(H18:H21, "y")/H22)*OVERALL!$C$17)</f>
        <v>0.125</v>
      </c>
      <c r="I17" s="30">
        <f>IF(I22=0,"-",(COUNTIF(I18:I21, "y")/I22)*OVERALL!$C$17)</f>
        <v>0.125</v>
      </c>
      <c r="K17" s="9" t="s">
        <v>6</v>
      </c>
    </row>
    <row r="18" spans="1:14" ht="18" customHeight="1" x14ac:dyDescent="0.2">
      <c r="A18" s="34" t="str">
        <f>OVERALL!A18</f>
        <v>INFORM</v>
      </c>
      <c r="B18" s="3">
        <f>IF(C18=0,"-",COUNTIF(D18:I18,"y")/C18)</f>
        <v>0.33333333333333331</v>
      </c>
      <c r="C18" s="27">
        <f>$C$2-COUNTIF(D18:I18, "-")</f>
        <v>6</v>
      </c>
      <c r="D18" s="330" t="s">
        <v>124</v>
      </c>
      <c r="E18" s="300" t="s">
        <v>124</v>
      </c>
      <c r="F18" s="305" t="s">
        <v>123</v>
      </c>
      <c r="G18" s="311" t="s">
        <v>123</v>
      </c>
      <c r="H18" s="324" t="s">
        <v>123</v>
      </c>
      <c r="I18" s="337" t="s">
        <v>123</v>
      </c>
    </row>
    <row r="19" spans="1:14" ht="18" customHeight="1" x14ac:dyDescent="0.2">
      <c r="A19" s="34" t="str">
        <f>OVERALL!A19</f>
        <v>CHECK</v>
      </c>
      <c r="B19" s="3">
        <f>IF(C19=0,"-",COUNTIF(D19:I19,"y")/C19)</f>
        <v>0</v>
      </c>
      <c r="C19" s="27">
        <f>$C$2-COUNTIF(D19:I19, "-")</f>
        <v>6</v>
      </c>
      <c r="D19" s="330" t="s">
        <v>123</v>
      </c>
      <c r="E19" s="300" t="s">
        <v>123</v>
      </c>
      <c r="F19" s="305" t="s">
        <v>123</v>
      </c>
      <c r="G19" s="311" t="s">
        <v>123</v>
      </c>
      <c r="H19" s="324" t="s">
        <v>123</v>
      </c>
      <c r="I19" s="337" t="s">
        <v>123</v>
      </c>
    </row>
    <row r="20" spans="1:14" ht="18" customHeight="1" x14ac:dyDescent="0.2">
      <c r="A20" s="34" t="str">
        <f>OVERALL!A20</f>
        <v>SEEK</v>
      </c>
      <c r="B20" s="3">
        <f>IF(C20=0,"-",COUNTIF(D20:I20,"y")/C20)</f>
        <v>1</v>
      </c>
      <c r="C20" s="27">
        <f>$C$2-COUNTIF(D20:I20, "-")</f>
        <v>6</v>
      </c>
      <c r="D20" s="330" t="s">
        <v>124</v>
      </c>
      <c r="E20" s="300" t="s">
        <v>124</v>
      </c>
      <c r="F20" s="305" t="s">
        <v>124</v>
      </c>
      <c r="G20" s="311" t="s">
        <v>124</v>
      </c>
      <c r="H20" s="324" t="s">
        <v>124</v>
      </c>
      <c r="I20" s="337" t="s">
        <v>124</v>
      </c>
      <c r="K20" t="s">
        <v>1</v>
      </c>
    </row>
    <row r="21" spans="1:14" ht="18" customHeight="1" x14ac:dyDescent="0.2">
      <c r="A21" s="34" t="str">
        <f>OVERALL!A21</f>
        <v>CONFIDENCE</v>
      </c>
      <c r="B21" s="3">
        <f>IF(C21=0,"-",COUNTIF(D21:I21,"y")/C21)</f>
        <v>1</v>
      </c>
      <c r="C21" s="27">
        <f>$C$2-COUNTIF(D21:I21, "-")</f>
        <v>6</v>
      </c>
      <c r="D21" s="330" t="s">
        <v>124</v>
      </c>
      <c r="E21" s="300" t="s">
        <v>124</v>
      </c>
      <c r="F21" s="305" t="s">
        <v>124</v>
      </c>
      <c r="G21" s="311" t="s">
        <v>124</v>
      </c>
      <c r="H21" s="324" t="s">
        <v>124</v>
      </c>
      <c r="I21" s="337" t="s">
        <v>124</v>
      </c>
    </row>
    <row r="22" spans="1:14" ht="18" customHeight="1" x14ac:dyDescent="0.2">
      <c r="A22" s="2"/>
      <c r="C22" s="63">
        <f>AVERAGE(C18:C21)</f>
        <v>6</v>
      </c>
      <c r="D22" s="28">
        <f t="shared" ref="D22:I22" si="5">COUNTA(D18:D21)-COUNTIF(D18:D21, "-")</f>
        <v>4</v>
      </c>
      <c r="E22" s="28">
        <f t="shared" si="5"/>
        <v>4</v>
      </c>
      <c r="F22" s="28">
        <f t="shared" si="5"/>
        <v>4</v>
      </c>
      <c r="G22" s="28">
        <f t="shared" si="5"/>
        <v>4</v>
      </c>
      <c r="H22" s="28">
        <f t="shared" si="5"/>
        <v>4</v>
      </c>
      <c r="I22" s="28">
        <f t="shared" si="5"/>
        <v>4</v>
      </c>
    </row>
    <row r="23" spans="1:14" ht="18" customHeight="1" x14ac:dyDescent="0.2">
      <c r="A23" s="20" t="str">
        <f>OVERALL!A23</f>
        <v>CLOSE</v>
      </c>
      <c r="B23" s="21">
        <f>IF(C27=0,"-",AVERAGE(B24:B26))</f>
        <v>0.61111111111111105</v>
      </c>
      <c r="C23" s="1" t="s">
        <v>1</v>
      </c>
      <c r="D23" s="30">
        <f>IF(D27=0,"-",(COUNTIF(D24:D26, "y")/D27)*OVERALL!$C$23)</f>
        <v>9.9999999999999992E-2</v>
      </c>
      <c r="E23" s="30">
        <f>IF(E27=0,"-",(COUNTIF(E24:E26, "y")/E27)*OVERALL!$C$23)</f>
        <v>9.9999999999999992E-2</v>
      </c>
      <c r="F23" s="30">
        <f>IF(F27=0,"-",(COUNTIF(F24:F26, "y")/F27)*OVERALL!$C$23)</f>
        <v>4.9999999999999996E-2</v>
      </c>
      <c r="G23" s="30">
        <f>IF(G27=0,"-",(COUNTIF(G24:G26, "y")/G27)*OVERALL!$C$23)</f>
        <v>9.9999999999999992E-2</v>
      </c>
      <c r="H23" s="30">
        <f>IF(H27=0,"-",(COUNTIF(H24:H26, "y")/H27)*OVERALL!$C$23)</f>
        <v>9.9999999999999992E-2</v>
      </c>
      <c r="I23" s="30">
        <f>IF(I27=0,"-",(COUNTIF(I24:I26, "y")/I27)*OVERALL!$C$23)</f>
        <v>9.9999999999999992E-2</v>
      </c>
    </row>
    <row r="24" spans="1:14" ht="18" customHeight="1" x14ac:dyDescent="0.2">
      <c r="A24" s="34" t="str">
        <f>OVERALL!A24</f>
        <v>QUESTIONS</v>
      </c>
      <c r="B24" s="3">
        <f>IF(C24=0,"-",COUNTIF(D24:I24,"y")/C24)</f>
        <v>0.5</v>
      </c>
      <c r="C24" s="27">
        <f>$C$2-COUNTIF(D24:I24, "-")</f>
        <v>6</v>
      </c>
      <c r="D24" s="330" t="s">
        <v>124</v>
      </c>
      <c r="E24" s="300" t="s">
        <v>124</v>
      </c>
      <c r="F24" s="305" t="s">
        <v>123</v>
      </c>
      <c r="G24" s="311" t="s">
        <v>123</v>
      </c>
      <c r="H24" s="324" t="s">
        <v>124</v>
      </c>
      <c r="I24" s="337" t="s">
        <v>123</v>
      </c>
    </row>
    <row r="25" spans="1:14" ht="18" customHeight="1" x14ac:dyDescent="0.2">
      <c r="A25" s="34" t="str">
        <f>OVERALL!A25</f>
        <v>GRATITUDE</v>
      </c>
      <c r="B25" s="3">
        <f>IF(C25=0,"-",COUNTIF(D25:I25,"y")/C25)</f>
        <v>0.33333333333333331</v>
      </c>
      <c r="C25" s="27">
        <f>$C$2-COUNTIF(D25:I25, "-")</f>
        <v>6</v>
      </c>
      <c r="D25" s="330" t="s">
        <v>123</v>
      </c>
      <c r="E25" s="300" t="s">
        <v>123</v>
      </c>
      <c r="F25" s="305" t="s">
        <v>123</v>
      </c>
      <c r="G25" s="311" t="s">
        <v>124</v>
      </c>
      <c r="H25" s="324" t="s">
        <v>123</v>
      </c>
      <c r="I25" s="337" t="s">
        <v>124</v>
      </c>
    </row>
    <row r="26" spans="1:14" ht="18" customHeight="1" x14ac:dyDescent="0.2">
      <c r="A26" s="34" t="str">
        <f>OVERALL!A26</f>
        <v>THANKS</v>
      </c>
      <c r="B26" s="3">
        <f>IF(C26=0,"-",COUNTIF(D26:I26,"y")/C26)</f>
        <v>1</v>
      </c>
      <c r="C26" s="27">
        <f>$C$2-COUNTIF(D26:I26, "-")</f>
        <v>6</v>
      </c>
      <c r="D26" s="330" t="s">
        <v>124</v>
      </c>
      <c r="E26" s="300" t="s">
        <v>124</v>
      </c>
      <c r="F26" s="305" t="s">
        <v>124</v>
      </c>
      <c r="G26" s="311" t="s">
        <v>124</v>
      </c>
      <c r="H26" s="324" t="s">
        <v>124</v>
      </c>
      <c r="I26" s="337" t="s">
        <v>124</v>
      </c>
    </row>
    <row r="27" spans="1:14" ht="18" customHeight="1" x14ac:dyDescent="0.2">
      <c r="A27" s="2"/>
      <c r="C27" s="63">
        <f>AVERAGE(C24:C26)</f>
        <v>6</v>
      </c>
      <c r="D27" s="28">
        <f t="shared" ref="D27:I27" si="6">COUNTA(D24:D26)-COUNTIF(D24:D26, "-")</f>
        <v>3</v>
      </c>
      <c r="E27" s="28">
        <f t="shared" si="6"/>
        <v>3</v>
      </c>
      <c r="F27" s="28">
        <f t="shared" si="6"/>
        <v>3</v>
      </c>
      <c r="G27" s="28">
        <f t="shared" si="6"/>
        <v>3</v>
      </c>
      <c r="H27" s="28">
        <f t="shared" si="6"/>
        <v>3</v>
      </c>
      <c r="I27" s="28">
        <f t="shared" si="6"/>
        <v>3</v>
      </c>
    </row>
    <row r="28" spans="1:14" ht="18" customHeight="1" x14ac:dyDescent="0.2">
      <c r="A28" s="20" t="str">
        <f>OVERALL!A28</f>
        <v>IMPACT</v>
      </c>
      <c r="B28" s="21">
        <f>IF(C33=0,"-",AVERAGE(B29:B32))</f>
        <v>0.79166666666666674</v>
      </c>
      <c r="C28" s="1" t="s">
        <v>1</v>
      </c>
      <c r="D28" s="30">
        <f>IF(D33=0,"-",(COUNTIF(D29:D32, "y")/D33)*OVERALL!$C$28)</f>
        <v>0.2</v>
      </c>
      <c r="E28" s="30">
        <f>IF(E33=0,"-",(COUNTIF(E29:E32, "y")/E33)*OVERALL!$C$28)</f>
        <v>0.2</v>
      </c>
      <c r="F28" s="30">
        <f>IF(F33=0,"-",(COUNTIF(F29:F32, "y")/F33)*OVERALL!$C$28)</f>
        <v>0.15000000000000002</v>
      </c>
      <c r="G28" s="30">
        <f>IF(G33=0,"-",(COUNTIF(G29:G32, "y")/G33)*OVERALL!$C$28)</f>
        <v>0.2</v>
      </c>
      <c r="H28" s="30">
        <f>IF(H33=0,"-",(COUNTIF(H29:H32, "y")/H33)*OVERALL!$C$28)</f>
        <v>0.1</v>
      </c>
      <c r="I28" s="30">
        <f>IF(I33=0,"-",(COUNTIF(I29:I32, "y")/I33)*OVERALL!$C$28)</f>
        <v>0.1</v>
      </c>
    </row>
    <row r="29" spans="1:14" ht="18" customHeight="1" x14ac:dyDescent="0.2">
      <c r="A29" s="34" t="str">
        <f>OVERALL!A29</f>
        <v>VIBRANCY</v>
      </c>
      <c r="B29" s="3">
        <f>IF(C29=0,"-",COUNTIF(D29:I29,"y")/C29)</f>
        <v>1</v>
      </c>
      <c r="C29" s="27">
        <f>$C$2-COUNTIF(D29:I29, "-")</f>
        <v>6</v>
      </c>
      <c r="D29" s="330" t="s">
        <v>124</v>
      </c>
      <c r="E29" s="300" t="s">
        <v>124</v>
      </c>
      <c r="F29" s="305" t="s">
        <v>124</v>
      </c>
      <c r="G29" s="311" t="s">
        <v>124</v>
      </c>
      <c r="H29" s="324" t="s">
        <v>124</v>
      </c>
      <c r="I29" s="337" t="s">
        <v>124</v>
      </c>
    </row>
    <row r="30" spans="1:14" ht="18" customHeight="1" x14ac:dyDescent="0.2">
      <c r="A30" s="34" t="str">
        <f>OVERALL!A30</f>
        <v>EMPATHY</v>
      </c>
      <c r="B30" s="3">
        <f>IF(C30=0,"-",COUNTIF(D30:I30,"y")/C30)</f>
        <v>0.5</v>
      </c>
      <c r="C30" s="27">
        <f>$C$2-COUNTIF(D30:I30, "-")</f>
        <v>6</v>
      </c>
      <c r="D30" s="330" t="s">
        <v>124</v>
      </c>
      <c r="E30" s="300" t="s">
        <v>124</v>
      </c>
      <c r="F30" s="305" t="s">
        <v>123</v>
      </c>
      <c r="G30" s="311" t="s">
        <v>124</v>
      </c>
      <c r="H30" s="324" t="s">
        <v>123</v>
      </c>
      <c r="I30" s="337" t="s">
        <v>123</v>
      </c>
    </row>
    <row r="31" spans="1:14" ht="18" customHeight="1" x14ac:dyDescent="0.2">
      <c r="A31" s="34" t="str">
        <f>OVERALL!A31</f>
        <v>CONTROL</v>
      </c>
      <c r="B31" s="3">
        <f>IF(C31=0,"-",COUNTIF(D31:I31,"y")/C31)</f>
        <v>0.83333333333333337</v>
      </c>
      <c r="C31" s="27">
        <f>$C$2-COUNTIF(D31:I31, "-")</f>
        <v>6</v>
      </c>
      <c r="D31" s="330" t="s">
        <v>124</v>
      </c>
      <c r="E31" s="300" t="s">
        <v>124</v>
      </c>
      <c r="F31" s="305" t="s">
        <v>124</v>
      </c>
      <c r="G31" s="311" t="s">
        <v>124</v>
      </c>
      <c r="H31" s="324" t="s">
        <v>124</v>
      </c>
      <c r="I31" s="337" t="s">
        <v>123</v>
      </c>
    </row>
    <row r="32" spans="1:14" ht="18" customHeight="1" x14ac:dyDescent="0.2">
      <c r="A32" s="34" t="str">
        <f>OVERALL!A32</f>
        <v>CLARITY</v>
      </c>
      <c r="B32" s="3">
        <f>IF(C32=0,"-",COUNTIF(D32:I32,"y")/C32)</f>
        <v>0.83333333333333337</v>
      </c>
      <c r="C32" s="27">
        <f>$C$2-COUNTIF(D32:I32, "-")</f>
        <v>6</v>
      </c>
      <c r="D32" s="330" t="s">
        <v>124</v>
      </c>
      <c r="E32" s="300" t="s">
        <v>124</v>
      </c>
      <c r="F32" s="305" t="s">
        <v>124</v>
      </c>
      <c r="G32" s="311" t="s">
        <v>124</v>
      </c>
      <c r="H32" s="324" t="s">
        <v>123</v>
      </c>
      <c r="I32" s="337" t="s">
        <v>124</v>
      </c>
      <c r="N32" t="s">
        <v>1</v>
      </c>
    </row>
    <row r="33" spans="1:16" ht="18" customHeight="1" x14ac:dyDescent="0.2">
      <c r="A33" s="5"/>
      <c r="B33" s="6"/>
      <c r="C33" s="63">
        <f>AVERAGE(C29:C32)</f>
        <v>6</v>
      </c>
      <c r="D33" s="28">
        <f t="shared" ref="D33:I33" si="7">COUNTA(D29:D32)-COUNTIF(D29:D32, "-")</f>
        <v>4</v>
      </c>
      <c r="E33" s="28">
        <f t="shared" si="7"/>
        <v>4</v>
      </c>
      <c r="F33" s="28">
        <f t="shared" si="7"/>
        <v>4</v>
      </c>
      <c r="G33" s="28">
        <f t="shared" si="7"/>
        <v>4</v>
      </c>
      <c r="H33" s="28">
        <f t="shared" si="7"/>
        <v>4</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6</v>
      </c>
      <c r="D35" s="330" t="s">
        <v>123</v>
      </c>
      <c r="E35" s="300" t="s">
        <v>123</v>
      </c>
      <c r="F35" s="305" t="s">
        <v>123</v>
      </c>
      <c r="G35" s="311" t="s">
        <v>123</v>
      </c>
      <c r="H35" s="324" t="s">
        <v>123</v>
      </c>
      <c r="I35" s="337" t="s">
        <v>123</v>
      </c>
      <c r="K35" s="48">
        <v>-0.3</v>
      </c>
      <c r="M35" s="48"/>
      <c r="N35" s="48"/>
      <c r="O35" s="48"/>
    </row>
    <row r="36" spans="1:16" ht="18" customHeight="1" x14ac:dyDescent="0.2">
      <c r="A36" s="45" t="str">
        <f>OVERALL!A36</f>
        <v>AUDIO ISSUE (DISTRACTION)</v>
      </c>
      <c r="B36" s="3">
        <f>IF(C36=0,"-",COUNTIF(D36:I36,"y")/C36)</f>
        <v>0</v>
      </c>
      <c r="C36" s="27">
        <f>$C$2-COUNTIF(D36:I36, "-")</f>
        <v>6</v>
      </c>
      <c r="D36" s="330" t="s">
        <v>123</v>
      </c>
      <c r="E36" s="300" t="s">
        <v>123</v>
      </c>
      <c r="F36" s="305" t="s">
        <v>123</v>
      </c>
      <c r="G36" s="311" t="s">
        <v>123</v>
      </c>
      <c r="H36" s="324" t="s">
        <v>123</v>
      </c>
      <c r="I36" s="337" t="s">
        <v>123</v>
      </c>
      <c r="K36" s="48">
        <v>-0.1</v>
      </c>
      <c r="M36" s="48"/>
      <c r="N36" s="48"/>
      <c r="O36" s="48"/>
    </row>
    <row r="37" spans="1:16" ht="18" customHeight="1" x14ac:dyDescent="0.2">
      <c r="A37" s="5"/>
      <c r="B37" s="6"/>
      <c r="C37" s="63">
        <f>C35</f>
        <v>6</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84" t="str">
        <f>OVERALL!A38</f>
        <v>ADDITIONAL INSIGHT</v>
      </c>
      <c r="B38" s="385"/>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6</v>
      </c>
      <c r="D39" s="330" t="s">
        <v>124</v>
      </c>
      <c r="E39" s="300" t="s">
        <v>124</v>
      </c>
      <c r="F39" s="305" t="s">
        <v>124</v>
      </c>
      <c r="G39" s="311" t="s">
        <v>124</v>
      </c>
      <c r="H39" s="324" t="s">
        <v>124</v>
      </c>
      <c r="I39" s="337" t="s">
        <v>124</v>
      </c>
    </row>
    <row r="40" spans="1:16" ht="18" customHeight="1" x14ac:dyDescent="0.2">
      <c r="A40" s="34" t="str">
        <f>OVERALL!A40</f>
        <v>TALK TIME</v>
      </c>
      <c r="B40" s="276">
        <f>IF(C40=0,"-",AVERAGE(D40:I40))</f>
        <v>5.0810185185185186E-3</v>
      </c>
      <c r="C40" s="27">
        <f t="shared" si="10"/>
        <v>6</v>
      </c>
      <c r="D40" s="275">
        <v>6.7824074074074071E-3</v>
      </c>
      <c r="E40" s="275">
        <v>7.3032407407407404E-3</v>
      </c>
      <c r="F40" s="275">
        <v>1.9560185185185184E-3</v>
      </c>
      <c r="G40" s="275">
        <v>9.0277777777777774E-4</v>
      </c>
      <c r="H40" s="275">
        <v>2.662037037037037E-3</v>
      </c>
      <c r="I40" s="275">
        <v>1.087962962962963E-2</v>
      </c>
      <c r="J40" s="46"/>
      <c r="K40" s="274"/>
      <c r="L40" s="274"/>
      <c r="M40" s="274"/>
      <c r="N40" s="274"/>
      <c r="O40" s="274"/>
      <c r="P40" s="274"/>
    </row>
    <row r="41" spans="1:16" ht="18" customHeight="1" x14ac:dyDescent="0.2">
      <c r="A41" s="34" t="str">
        <f>OVERALL!A41</f>
        <v>ASSESSOR RATING (0-10)</v>
      </c>
      <c r="B41" s="22">
        <f>IF(C41=0,"-",SUM(D41:I41)/C41)</f>
        <v>5</v>
      </c>
      <c r="C41" s="27">
        <f t="shared" si="10"/>
        <v>6</v>
      </c>
      <c r="D41" s="266">
        <v>6</v>
      </c>
      <c r="E41" s="266">
        <v>7</v>
      </c>
      <c r="F41" s="266">
        <v>5</v>
      </c>
      <c r="G41" s="266">
        <v>5</v>
      </c>
      <c r="H41" s="266">
        <v>4</v>
      </c>
      <c r="I41" s="266">
        <v>3</v>
      </c>
    </row>
    <row r="42" spans="1:16" ht="18" customHeight="1" x14ac:dyDescent="0.2">
      <c r="A42" s="34" t="str">
        <f>OVERALL!A42</f>
        <v>EXPLAINED KEY FEATURES</v>
      </c>
      <c r="B42" s="3">
        <f>IF(C42=0,"-",COUNTIF(D42:I42, "y")/C42)</f>
        <v>0.33333333333333331</v>
      </c>
      <c r="C42" s="27">
        <f t="shared" si="10"/>
        <v>6</v>
      </c>
      <c r="D42" s="330" t="s">
        <v>124</v>
      </c>
      <c r="E42" s="300" t="s">
        <v>124</v>
      </c>
      <c r="F42" s="305" t="s">
        <v>123</v>
      </c>
      <c r="G42" s="311" t="s">
        <v>123</v>
      </c>
      <c r="H42" s="324" t="s">
        <v>123</v>
      </c>
      <c r="I42" s="337" t="s">
        <v>123</v>
      </c>
      <c r="J42" s="47"/>
      <c r="K42" t="s">
        <v>1</v>
      </c>
    </row>
    <row r="43" spans="1:16" ht="18" customHeight="1" x14ac:dyDescent="0.2">
      <c r="A43" s="34" t="str">
        <f>OVERALL!A43</f>
        <v>REVEALED PRICING</v>
      </c>
      <c r="B43" s="3">
        <f>IF(C43=0,"-",COUNTIF(D43:I43, "y")/C43)</f>
        <v>0.5</v>
      </c>
      <c r="C43" s="27">
        <f t="shared" si="10"/>
        <v>6</v>
      </c>
      <c r="D43" s="330" t="s">
        <v>124</v>
      </c>
      <c r="E43" s="300" t="s">
        <v>124</v>
      </c>
      <c r="F43" s="305" t="s">
        <v>123</v>
      </c>
      <c r="G43" s="311" t="s">
        <v>123</v>
      </c>
      <c r="H43" s="324" t="s">
        <v>124</v>
      </c>
      <c r="I43" s="337" t="s">
        <v>123</v>
      </c>
    </row>
    <row r="44" spans="1:16" ht="18" customHeight="1" x14ac:dyDescent="0.2">
      <c r="A44" s="34" t="str">
        <f>OVERALL!A44</f>
        <v>EXPLAINED ACTIONS &amp; PROCESS</v>
      </c>
      <c r="B44" s="3">
        <f>IF(C44=0,"-",COUNTIF(D44:I44, "y")/C44)</f>
        <v>1</v>
      </c>
      <c r="C44" s="27">
        <f t="shared" si="10"/>
        <v>6</v>
      </c>
      <c r="D44" s="330" t="s">
        <v>124</v>
      </c>
      <c r="E44" s="300" t="s">
        <v>124</v>
      </c>
      <c r="F44" s="305" t="s">
        <v>124</v>
      </c>
      <c r="G44" s="311" t="s">
        <v>124</v>
      </c>
      <c r="H44" s="324" t="s">
        <v>124</v>
      </c>
      <c r="I44" s="337" t="s">
        <v>124</v>
      </c>
    </row>
    <row r="45" spans="1:16" ht="18" customHeight="1" x14ac:dyDescent="0.2">
      <c r="A45" s="34" t="str">
        <f>OVERALL!A45</f>
        <v>WEBSITE EDUCATION</v>
      </c>
      <c r="B45" s="3">
        <f>IF(C45=0,"-",COUNTIF(D45:I45, "y")/C45)</f>
        <v>0.5</v>
      </c>
      <c r="C45" s="27">
        <f t="shared" si="10"/>
        <v>6</v>
      </c>
      <c r="D45" s="330" t="s">
        <v>124</v>
      </c>
      <c r="E45" s="300" t="s">
        <v>123</v>
      </c>
      <c r="F45" s="305" t="s">
        <v>124</v>
      </c>
      <c r="G45" s="311" t="s">
        <v>123</v>
      </c>
      <c r="H45" s="324" t="s">
        <v>124</v>
      </c>
      <c r="I45" s="337" t="s">
        <v>123</v>
      </c>
    </row>
    <row r="46" spans="1:16" ht="18" customHeight="1" x14ac:dyDescent="0.2">
      <c r="A46" s="18"/>
      <c r="B46" s="3"/>
      <c r="C46" s="27"/>
      <c r="D46" s="268"/>
      <c r="E46" s="268"/>
      <c r="F46" s="268"/>
      <c r="G46" s="268"/>
      <c r="H46" s="268"/>
      <c r="I46" s="268"/>
    </row>
    <row r="47" spans="1:16" ht="255" x14ac:dyDescent="0.2">
      <c r="A47" s="26" t="s">
        <v>1</v>
      </c>
      <c r="B47" s="386" t="s">
        <v>35</v>
      </c>
      <c r="C47" s="387"/>
      <c r="D47" s="24" t="s">
        <v>177</v>
      </c>
      <c r="E47" s="24" t="s">
        <v>130</v>
      </c>
      <c r="F47" s="24" t="s">
        <v>137</v>
      </c>
      <c r="G47" s="24" t="s">
        <v>147</v>
      </c>
      <c r="H47" s="24" t="s">
        <v>165</v>
      </c>
      <c r="I47" s="24" t="s">
        <v>192</v>
      </c>
    </row>
    <row r="48" spans="1:16" ht="18" customHeight="1" x14ac:dyDescent="0.2">
      <c r="A48" s="59" t="s">
        <v>47</v>
      </c>
      <c r="D48" s="50">
        <f t="shared" ref="D48:I48" si="11">IF(D$2="","",IF(D$39="n", "", SUM(D$6,D$12,D$17,D$23,D$28,D$34)))</f>
        <v>0.65416666666666667</v>
      </c>
      <c r="E48" s="50">
        <f t="shared" si="11"/>
        <v>0.77083333333333326</v>
      </c>
      <c r="F48" s="50">
        <f t="shared" si="11"/>
        <v>0.4916666666666667</v>
      </c>
      <c r="G48" s="50">
        <f t="shared" si="11"/>
        <v>0.59166666666666667</v>
      </c>
      <c r="H48" s="50">
        <f t="shared" si="11"/>
        <v>0.4916666666666667</v>
      </c>
      <c r="I48" s="50">
        <f t="shared" si="11"/>
        <v>0.375</v>
      </c>
    </row>
    <row r="50" spans="1:9" ht="19" x14ac:dyDescent="0.25">
      <c r="A50" s="110" t="s">
        <v>74</v>
      </c>
      <c r="B50" s="90" t="s">
        <v>75</v>
      </c>
    </row>
    <row r="51" spans="1:9" x14ac:dyDescent="0.2">
      <c r="A51" s="111" t="s">
        <v>63</v>
      </c>
      <c r="B51" s="112">
        <v>0.3</v>
      </c>
      <c r="C51" s="111"/>
      <c r="D51" s="256">
        <f>[1]CBA!D$4</f>
        <v>0.30964285714285711</v>
      </c>
      <c r="E51" s="256">
        <f>[1]CBA!E$4</f>
        <v>0.23821428571428568</v>
      </c>
      <c r="F51" s="256">
        <f>[1]CBA!F$4</f>
        <v>0.37958333333333338</v>
      </c>
      <c r="G51" s="256">
        <f>[1]CBA!G$4</f>
        <v>0.31708333333333338</v>
      </c>
      <c r="H51" s="256">
        <f>[1]CBA!H$4</f>
        <v>0.37958333333333338</v>
      </c>
      <c r="I51" s="256">
        <f>[1]CBA!I$4</f>
        <v>0.27839285714285711</v>
      </c>
    </row>
    <row r="52" spans="1:9" x14ac:dyDescent="0.2">
      <c r="A52" s="111" t="s">
        <v>64</v>
      </c>
      <c r="B52" s="112">
        <v>0.7</v>
      </c>
      <c r="C52" s="111"/>
      <c r="D52" s="257">
        <f t="shared" ref="D52:I52" si="12">D4</f>
        <v>0.65416666666666667</v>
      </c>
      <c r="E52" s="257">
        <f t="shared" si="12"/>
        <v>0.77083333333333326</v>
      </c>
      <c r="F52" s="257">
        <f t="shared" si="12"/>
        <v>0.4916666666666667</v>
      </c>
      <c r="G52" s="257">
        <f t="shared" si="12"/>
        <v>0.59166666666666667</v>
      </c>
      <c r="H52" s="257">
        <f t="shared" si="12"/>
        <v>0.4916666666666667</v>
      </c>
      <c r="I52" s="257">
        <f t="shared" si="12"/>
        <v>0.375</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9.2892857142857124E-2</v>
      </c>
      <c r="E55" s="257">
        <f t="shared" ref="E55:I55" si="13">IF(E51="-","-",E51*$B$51)</f>
        <v>7.1464285714285702E-2</v>
      </c>
      <c r="F55" s="257">
        <f t="shared" si="13"/>
        <v>0.113875</v>
      </c>
      <c r="G55" s="257">
        <f t="shared" si="13"/>
        <v>9.5125000000000015E-2</v>
      </c>
      <c r="H55" s="257">
        <f t="shared" si="13"/>
        <v>0.113875</v>
      </c>
      <c r="I55" s="257">
        <f t="shared" si="13"/>
        <v>8.351785714285713E-2</v>
      </c>
    </row>
    <row r="56" spans="1:9" x14ac:dyDescent="0.2">
      <c r="A56" s="111" t="s">
        <v>64</v>
      </c>
      <c r="B56" s="111"/>
      <c r="C56" s="111"/>
      <c r="D56" s="257">
        <f t="shared" ref="D56:I56" si="14">IF(D52="-","-",D52*$B$52)</f>
        <v>0.45791666666666664</v>
      </c>
      <c r="E56" s="257">
        <f t="shared" si="14"/>
        <v>0.53958333333333319</v>
      </c>
      <c r="F56" s="257">
        <f t="shared" si="14"/>
        <v>0.34416666666666668</v>
      </c>
      <c r="G56" s="257">
        <f t="shared" si="14"/>
        <v>0.41416666666666663</v>
      </c>
      <c r="H56" s="257">
        <f t="shared" si="14"/>
        <v>0.34416666666666668</v>
      </c>
      <c r="I56" s="257">
        <f t="shared" si="14"/>
        <v>0.26249999999999996</v>
      </c>
    </row>
    <row r="57" spans="1:9" x14ac:dyDescent="0.2">
      <c r="A57" s="114" t="s">
        <v>59</v>
      </c>
      <c r="B57" s="114"/>
      <c r="C57" s="114"/>
      <c r="D57" s="115">
        <f t="shared" ref="D57:I57" si="15">IF(D51="","",IF(D52="","",SUM(D55:D56)))</f>
        <v>0.55080952380952375</v>
      </c>
      <c r="E57" s="115">
        <f t="shared" si="15"/>
        <v>0.61104761904761884</v>
      </c>
      <c r="F57" s="115">
        <f t="shared" si="15"/>
        <v>0.45804166666666668</v>
      </c>
      <c r="G57" s="115">
        <f t="shared" si="15"/>
        <v>0.5092916666666667</v>
      </c>
      <c r="H57" s="115">
        <f t="shared" si="15"/>
        <v>0.45804166666666668</v>
      </c>
      <c r="I57" s="115">
        <f t="shared" si="15"/>
        <v>0.3460178571428571</v>
      </c>
    </row>
  </sheetData>
  <mergeCells count="2">
    <mergeCell ref="A38:B38"/>
    <mergeCell ref="B47:C47"/>
  </mergeCells>
  <conditionalFormatting sqref="B4">
    <cfRule type="containsBlanks" dxfId="101" priority="6">
      <formula>LEN(TRIM(B4))=0</formula>
    </cfRule>
    <cfRule type="cellIs" dxfId="100" priority="7" operator="greaterThanOrEqual">
      <formula>0.905</formula>
    </cfRule>
    <cfRule type="cellIs" dxfId="99" priority="8" operator="between">
      <formula>0.754999</formula>
      <formula>0.905</formula>
    </cfRule>
    <cfRule type="cellIs" dxfId="98" priority="9" operator="between">
      <formula>0.604999</formula>
      <formula>0.754999</formula>
    </cfRule>
    <cfRule type="cellIs" dxfId="97" priority="10" operator="between">
      <formula>0.44999</formula>
      <formula>0.605</formula>
    </cfRule>
    <cfRule type="cellIs" dxfId="96" priority="11" operator="lessThan">
      <formula>0.45</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7"/>
  <sheetViews>
    <sheetView zoomScale="80" zoomScaleNormal="80" workbookViewId="0">
      <pane xSplit="3" ySplit="6" topLeftCell="D47" activePane="bottomRight" state="frozen"/>
      <selection activeCell="F48" sqref="F48"/>
      <selection pane="topRight" activeCell="F48" sqref="F48"/>
      <selection pane="bottomLeft" activeCell="F48" sqref="F48"/>
      <selection pane="bottomRight" activeCell="B4" sqref="B4"/>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36" t="s">
        <v>180</v>
      </c>
      <c r="E2" s="314" t="s">
        <v>150</v>
      </c>
      <c r="F2" s="299" t="s">
        <v>77</v>
      </c>
      <c r="G2" s="312" t="s">
        <v>148</v>
      </c>
      <c r="H2" s="325" t="s">
        <v>166</v>
      </c>
      <c r="I2" s="338" t="s">
        <v>77</v>
      </c>
    </row>
    <row r="3" spans="1:11" ht="19" x14ac:dyDescent="0.2">
      <c r="A3" s="33" t="str">
        <f>OVERALL!K1</f>
        <v>GREAT SOUTHERN BANK</v>
      </c>
      <c r="B3" s="248">
        <f>OVERALL!K3</f>
        <v>0.37867559523809524</v>
      </c>
      <c r="C3" s="108" t="s">
        <v>73</v>
      </c>
      <c r="D3" s="109">
        <f>IF(D2="-","-",D57)</f>
        <v>0.50166666666666671</v>
      </c>
      <c r="E3" s="109">
        <f t="shared" ref="E3:I3" si="0">IF(E2="-","-",E57)</f>
        <v>0.73958333333333326</v>
      </c>
      <c r="F3" s="109" t="str">
        <f t="shared" si="0"/>
        <v>-</v>
      </c>
      <c r="G3" s="109">
        <f t="shared" si="0"/>
        <v>0.42854166666666665</v>
      </c>
      <c r="H3" s="109">
        <f t="shared" si="0"/>
        <v>0.48229166666666662</v>
      </c>
      <c r="I3" s="109" t="str">
        <f t="shared" si="0"/>
        <v>-</v>
      </c>
    </row>
    <row r="4" spans="1:11" ht="18" customHeight="1" x14ac:dyDescent="0.2">
      <c r="A4" s="17" t="str">
        <f>OVERALL!A4</f>
        <v>QUALITY SCORE</v>
      </c>
      <c r="B4" s="38">
        <f>IF(C2=0, "-", IF(COUNTIF(D39:I39, "n")=C2, "-", IF(COUNT(D4:I4)=0, "-", AVERAGE(D4:I4))))</f>
        <v>0.47083333333333333</v>
      </c>
      <c r="C4" s="58" t="s">
        <v>1</v>
      </c>
      <c r="D4" s="38">
        <f>IF(D48&lt;0%,0%,IF(D$2="-","-",IF(D$39="n", "-", SUM(D$6,D$12,D$17,D$23,D$28,D$34))))</f>
        <v>0.44166666666666671</v>
      </c>
      <c r="E4" s="38">
        <f t="shared" ref="E4:I4" si="1">IF(E48&lt;0%,0%,IF(E$2="-","-",IF(E$39="n", "-", SUM(E$6,E$12,E$17,E$23,E$28,E$34))))</f>
        <v>0.73333333333333328</v>
      </c>
      <c r="F4" s="38" t="str">
        <f t="shared" si="1"/>
        <v>-</v>
      </c>
      <c r="G4" s="38">
        <f t="shared" si="1"/>
        <v>0.32916666666666666</v>
      </c>
      <c r="H4" s="38">
        <f t="shared" si="1"/>
        <v>0.37916666666666665</v>
      </c>
      <c r="I4" s="38" t="str">
        <f t="shared" si="1"/>
        <v>-</v>
      </c>
      <c r="K4" s="12" t="s">
        <v>8</v>
      </c>
    </row>
    <row r="5" spans="1:11" ht="18" customHeight="1" x14ac:dyDescent="0.25">
      <c r="A5" s="57" t="s">
        <v>48</v>
      </c>
      <c r="B5" s="58">
        <f>IF(B6="-","-",AVERAGE(D5:I5))</f>
        <v>0.47083333333333333</v>
      </c>
      <c r="C5" s="58" t="s">
        <v>1</v>
      </c>
      <c r="D5" s="60">
        <f t="shared" ref="D5:I5" si="2">IF(D$2="","",IF(D$39="n", "", SUM(D$6,D$12,D$17,D$23,D$28)))</f>
        <v>0.44166666666666671</v>
      </c>
      <c r="E5" s="60">
        <f t="shared" si="2"/>
        <v>0.73333333333333328</v>
      </c>
      <c r="F5" s="60" t="str">
        <f t="shared" si="2"/>
        <v/>
      </c>
      <c r="G5" s="60">
        <f t="shared" si="2"/>
        <v>0.32916666666666666</v>
      </c>
      <c r="H5" s="60">
        <f t="shared" si="2"/>
        <v>0.37916666666666665</v>
      </c>
      <c r="I5" s="60" t="str">
        <f t="shared" si="2"/>
        <v/>
      </c>
      <c r="K5" s="7" t="s">
        <v>16</v>
      </c>
    </row>
    <row r="6" spans="1:11" ht="18" customHeight="1" x14ac:dyDescent="0.2">
      <c r="A6" s="20" t="str">
        <f>OVERALL!A6</f>
        <v>ENGAGE</v>
      </c>
      <c r="B6" s="21">
        <f>IF(C11=0,"-",AVERAGE(B7:B10))</f>
        <v>0.375</v>
      </c>
      <c r="C6" s="61" t="s">
        <v>0</v>
      </c>
      <c r="D6" s="29">
        <f>IF(D11=0,"-",(COUNTIF(D7:D10, "y")/D11)*OVERALL!$C$6)</f>
        <v>0.1</v>
      </c>
      <c r="E6" s="29">
        <f>IF(E11=0,"-",(COUNTIF(E7:E10, "y")/E11)*OVERALL!$C$6)</f>
        <v>0.1</v>
      </c>
      <c r="F6" s="29" t="str">
        <f>IF(F11=0,"-",(COUNTIF(F7:F10, "y")/F11)*OVERALL!$C$6)</f>
        <v>-</v>
      </c>
      <c r="G6" s="29">
        <f>IF(G11=0,"-",(COUNTIF(G7:G10, "y")/G11)*OVERALL!$C$6)</f>
        <v>0.05</v>
      </c>
      <c r="H6" s="29">
        <f>IF(H11=0,"-",(COUNTIF(H7:H10, "y")/H11)*OVERALL!$C$6)</f>
        <v>0.05</v>
      </c>
      <c r="I6" s="29" t="str">
        <f>IF(I11=0,"-",(COUNTIF(I7:I10, "y")/I11)*OVERALL!$C$6)</f>
        <v>-</v>
      </c>
    </row>
    <row r="7" spans="1:11" ht="18" customHeight="1" x14ac:dyDescent="0.2">
      <c r="A7" s="34" t="str">
        <f>OVERALL!A7</f>
        <v>WELCOME</v>
      </c>
      <c r="B7" s="3">
        <f>IF(C7=0,"-",COUNTIF(D7:I7,"y")/C7)</f>
        <v>1</v>
      </c>
      <c r="C7" s="27">
        <f>$C$2-COUNTIF(D7:I7, "-")</f>
        <v>4</v>
      </c>
      <c r="D7" s="335" t="s">
        <v>124</v>
      </c>
      <c r="E7" s="315" t="s">
        <v>124</v>
      </c>
      <c r="F7" s="298" t="s">
        <v>77</v>
      </c>
      <c r="G7" s="311" t="s">
        <v>124</v>
      </c>
      <c r="H7" s="324" t="s">
        <v>124</v>
      </c>
      <c r="I7" s="337" t="s">
        <v>77</v>
      </c>
      <c r="K7" s="11" t="s">
        <v>2</v>
      </c>
    </row>
    <row r="8" spans="1:11" ht="18" customHeight="1" x14ac:dyDescent="0.25">
      <c r="A8" s="34" t="str">
        <f>OVERALL!A8</f>
        <v>INTENT</v>
      </c>
      <c r="B8" s="3">
        <f>IF(C8=0,"-",COUNTIF(D8:I8,"y")/C8)</f>
        <v>0</v>
      </c>
      <c r="C8" s="27">
        <f>$C$2-COUNTIF(D8:I8, "-")</f>
        <v>4</v>
      </c>
      <c r="D8" s="335" t="s">
        <v>123</v>
      </c>
      <c r="E8" s="315" t="s">
        <v>123</v>
      </c>
      <c r="F8" s="298" t="s">
        <v>77</v>
      </c>
      <c r="G8" s="311" t="s">
        <v>123</v>
      </c>
      <c r="H8" s="324" t="s">
        <v>123</v>
      </c>
      <c r="I8" s="337" t="s">
        <v>77</v>
      </c>
      <c r="K8" s="7" t="s">
        <v>15</v>
      </c>
    </row>
    <row r="9" spans="1:11" ht="18" customHeight="1" x14ac:dyDescent="0.2">
      <c r="A9" s="34" t="str">
        <f>OVERALL!A9</f>
        <v>NAME</v>
      </c>
      <c r="B9" s="3">
        <f>IF(C9=0,"-",COUNTIF(D9:I9,"y")/C9)</f>
        <v>0.5</v>
      </c>
      <c r="C9" s="27">
        <f>$C$2-COUNTIF(D9:I9, "-")</f>
        <v>4</v>
      </c>
      <c r="D9" s="335" t="s">
        <v>124</v>
      </c>
      <c r="E9" s="315" t="s">
        <v>124</v>
      </c>
      <c r="F9" s="298" t="s">
        <v>77</v>
      </c>
      <c r="G9" s="311" t="s">
        <v>123</v>
      </c>
      <c r="H9" s="324" t="s">
        <v>123</v>
      </c>
      <c r="I9" s="337" t="s">
        <v>77</v>
      </c>
      <c r="K9" t="s">
        <v>1</v>
      </c>
    </row>
    <row r="10" spans="1:11" ht="18" customHeight="1" x14ac:dyDescent="0.2">
      <c r="A10" s="34" t="str">
        <f>OVERALL!A10</f>
        <v>BRIDGE</v>
      </c>
      <c r="B10" s="3">
        <f>IF(C10=0,"-",COUNTIF(D10:I10,"y")/C10)</f>
        <v>0</v>
      </c>
      <c r="C10" s="27">
        <f>$C$2-COUNTIF(D10:I10, "-")</f>
        <v>4</v>
      </c>
      <c r="D10" s="335" t="s">
        <v>123</v>
      </c>
      <c r="E10" s="315" t="s">
        <v>123</v>
      </c>
      <c r="F10" s="298" t="s">
        <v>77</v>
      </c>
      <c r="G10" s="311" t="s">
        <v>123</v>
      </c>
      <c r="H10" s="324" t="s">
        <v>123</v>
      </c>
      <c r="I10" s="337" t="s">
        <v>77</v>
      </c>
      <c r="K10" s="13" t="s">
        <v>3</v>
      </c>
    </row>
    <row r="11" spans="1:11" ht="18" customHeight="1" x14ac:dyDescent="0.25">
      <c r="A11" s="2"/>
      <c r="C11" s="63">
        <f>AVERAGE(C7:C10)</f>
        <v>4</v>
      </c>
      <c r="D11" s="28">
        <f t="shared" ref="D11:I11" si="3">COUNTA(D7:D10)-COUNTIF(D7:D10, "-")</f>
        <v>4</v>
      </c>
      <c r="E11" s="28">
        <f t="shared" si="3"/>
        <v>4</v>
      </c>
      <c r="F11" s="28">
        <f t="shared" si="3"/>
        <v>0</v>
      </c>
      <c r="G11" s="28">
        <f t="shared" si="3"/>
        <v>4</v>
      </c>
      <c r="H11" s="28">
        <f t="shared" si="3"/>
        <v>4</v>
      </c>
      <c r="I11" s="28">
        <f t="shared" si="3"/>
        <v>0</v>
      </c>
      <c r="K11" s="8" t="s">
        <v>14</v>
      </c>
    </row>
    <row r="12" spans="1:11" ht="18" customHeight="1" x14ac:dyDescent="0.2">
      <c r="A12" s="20" t="str">
        <f>OVERALL!A12</f>
        <v>DISCOVER</v>
      </c>
      <c r="B12" s="21">
        <f>IF(C16=0,"-",AVERAGE(B13:B15))</f>
        <v>0.41666666666666669</v>
      </c>
      <c r="C12" s="1" t="s">
        <v>1</v>
      </c>
      <c r="D12" s="29">
        <f>IF(D16=0,"-",(COUNTIF(D13:D15, "y")/D16)*OVERALL!$C$12)</f>
        <v>6.6666666666666666E-2</v>
      </c>
      <c r="E12" s="29">
        <f>IF(E16=0,"-",(COUNTIF(E13:E15, "y")/E16)*OVERALL!$C$12)</f>
        <v>0.13333333333333333</v>
      </c>
      <c r="F12" s="29" t="str">
        <f>IF(F16=0,"-",(COUNTIF(F13:F15, "y")/F16)*OVERALL!$C$12)</f>
        <v>-</v>
      </c>
      <c r="G12" s="29">
        <f>IF(G16=0,"-",(COUNTIF(G13:G15, "y")/G16)*OVERALL!$C$12)</f>
        <v>6.6666666666666666E-2</v>
      </c>
      <c r="H12" s="29">
        <f>IF(H16=0,"-",(COUNTIF(H13:H15, "y")/H16)*OVERALL!$C$12)</f>
        <v>6.6666666666666666E-2</v>
      </c>
      <c r="I12" s="29" t="str">
        <f>IF(I16=0,"-",(COUNTIF(I13:I15, "y")/I16)*OVERALL!$C$12)</f>
        <v>-</v>
      </c>
      <c r="K12" t="s">
        <v>1</v>
      </c>
    </row>
    <row r="13" spans="1:11" ht="18" customHeight="1" x14ac:dyDescent="0.2">
      <c r="A13" s="34" t="str">
        <f>OVERALL!A13</f>
        <v>CONVERSE</v>
      </c>
      <c r="B13" s="3">
        <f>IF(C13=0,"-",COUNTIF(D13:I13,"y")/C13)</f>
        <v>0</v>
      </c>
      <c r="C13" s="27">
        <f>$C$2-COUNTIF(D13:I13, "-")</f>
        <v>4</v>
      </c>
      <c r="D13" s="335" t="s">
        <v>123</v>
      </c>
      <c r="E13" s="315" t="s">
        <v>123</v>
      </c>
      <c r="F13" s="298" t="s">
        <v>77</v>
      </c>
      <c r="G13" s="311" t="s">
        <v>123</v>
      </c>
      <c r="H13" s="324" t="s">
        <v>123</v>
      </c>
      <c r="I13" s="337" t="s">
        <v>77</v>
      </c>
      <c r="K13" s="14" t="s">
        <v>4</v>
      </c>
    </row>
    <row r="14" spans="1:11" ht="18" customHeight="1" x14ac:dyDescent="0.25">
      <c r="A14" s="34" t="str">
        <f>OVERALL!A14</f>
        <v>LISTEN</v>
      </c>
      <c r="B14" s="3">
        <f>IF(C14=0,"-",COUNTIF(D14:I14,"y")/C14)</f>
        <v>1</v>
      </c>
      <c r="C14" s="27">
        <f>$C$2-COUNTIF(D14:I14, "-")</f>
        <v>4</v>
      </c>
      <c r="D14" s="335" t="s">
        <v>124</v>
      </c>
      <c r="E14" s="315" t="s">
        <v>124</v>
      </c>
      <c r="F14" s="298" t="s">
        <v>77</v>
      </c>
      <c r="G14" s="311" t="s">
        <v>124</v>
      </c>
      <c r="H14" s="324" t="s">
        <v>124</v>
      </c>
      <c r="I14" s="337" t="s">
        <v>77</v>
      </c>
      <c r="K14" s="9" t="s">
        <v>13</v>
      </c>
    </row>
    <row r="15" spans="1:11" ht="18" customHeight="1" x14ac:dyDescent="0.2">
      <c r="A15" s="34" t="str">
        <f>OVERALL!A15</f>
        <v>CONFIRM</v>
      </c>
      <c r="B15" s="3">
        <f>IF(C15=0,"-",COUNTIF(D15:I15,"y")/C15)</f>
        <v>0.25</v>
      </c>
      <c r="C15" s="27">
        <f>$C$2-COUNTIF(D15:I15, "-")</f>
        <v>4</v>
      </c>
      <c r="D15" s="335" t="s">
        <v>123</v>
      </c>
      <c r="E15" s="315" t="s">
        <v>124</v>
      </c>
      <c r="F15" s="298" t="s">
        <v>77</v>
      </c>
      <c r="G15" s="311" t="s">
        <v>123</v>
      </c>
      <c r="H15" s="324" t="s">
        <v>123</v>
      </c>
      <c r="I15" s="337" t="s">
        <v>77</v>
      </c>
      <c r="J15" t="s">
        <v>1</v>
      </c>
    </row>
    <row r="16" spans="1:11" ht="18" customHeight="1" x14ac:dyDescent="0.2">
      <c r="A16" s="2"/>
      <c r="C16" s="63">
        <f>AVERAGE(C13:C15)</f>
        <v>4</v>
      </c>
      <c r="D16" s="28">
        <f t="shared" ref="D16:I16" si="4">COUNTA(D13:D15)-COUNTIF(D13:D15, "-")</f>
        <v>3</v>
      </c>
      <c r="E16" s="28">
        <f t="shared" si="4"/>
        <v>3</v>
      </c>
      <c r="F16" s="28">
        <f t="shared" si="4"/>
        <v>0</v>
      </c>
      <c r="G16" s="28">
        <f t="shared" si="4"/>
        <v>3</v>
      </c>
      <c r="H16" s="28">
        <f t="shared" si="4"/>
        <v>3</v>
      </c>
      <c r="I16" s="28">
        <f t="shared" si="4"/>
        <v>0</v>
      </c>
      <c r="K16" s="15" t="s">
        <v>7</v>
      </c>
    </row>
    <row r="17" spans="1:14" ht="18" customHeight="1" x14ac:dyDescent="0.25">
      <c r="A17" s="20" t="str">
        <f>OVERALL!A17</f>
        <v>EDUCATE</v>
      </c>
      <c r="B17" s="21">
        <f>IF(C22=0,"-",AVERAGE(B18:B21))</f>
        <v>0.5</v>
      </c>
      <c r="C17" s="1" t="s">
        <v>1</v>
      </c>
      <c r="D17" s="30">
        <f>IF(D22=0,"-",(COUNTIF(D18:D21, "y")/D22)*OVERALL!$C$17)</f>
        <v>0.125</v>
      </c>
      <c r="E17" s="30">
        <f>IF(E22=0,"-",(COUNTIF(E18:E21, "y")/E22)*OVERALL!$C$17)</f>
        <v>0.25</v>
      </c>
      <c r="F17" s="30" t="str">
        <f>IF(F22=0,"-",(COUNTIF(F18:F21, "y")/F22)*OVERALL!$C$17)</f>
        <v>-</v>
      </c>
      <c r="G17" s="30">
        <f>IF(G22=0,"-",(COUNTIF(G18:G21, "y")/G22)*OVERALL!$C$17)</f>
        <v>6.25E-2</v>
      </c>
      <c r="H17" s="30">
        <f>IF(H22=0,"-",(COUNTIF(H18:H21, "y")/H22)*OVERALL!$C$17)</f>
        <v>6.25E-2</v>
      </c>
      <c r="I17" s="30" t="str">
        <f>IF(I22=0,"-",(COUNTIF(I18:I21, "y")/I22)*OVERALL!$C$17)</f>
        <v>-</v>
      </c>
      <c r="K17" s="9" t="s">
        <v>6</v>
      </c>
    </row>
    <row r="18" spans="1:14" ht="18" customHeight="1" x14ac:dyDescent="0.2">
      <c r="A18" s="34" t="str">
        <f>OVERALL!A18</f>
        <v>INFORM</v>
      </c>
      <c r="B18" s="3">
        <f>IF(C18=0,"-",COUNTIF(D18:I18,"y")/C18)</f>
        <v>0.25</v>
      </c>
      <c r="C18" s="27">
        <f>$C$2-COUNTIF(D18:I18, "-")</f>
        <v>4</v>
      </c>
      <c r="D18" s="335" t="s">
        <v>123</v>
      </c>
      <c r="E18" s="315" t="s">
        <v>124</v>
      </c>
      <c r="F18" s="298" t="s">
        <v>77</v>
      </c>
      <c r="G18" s="311" t="s">
        <v>123</v>
      </c>
      <c r="H18" s="324" t="s">
        <v>123</v>
      </c>
      <c r="I18" s="337" t="s">
        <v>77</v>
      </c>
    </row>
    <row r="19" spans="1:14" ht="18" customHeight="1" x14ac:dyDescent="0.2">
      <c r="A19" s="34" t="str">
        <f>OVERALL!A19</f>
        <v>CHECK</v>
      </c>
      <c r="B19" s="3">
        <f>IF(C19=0,"-",COUNTIF(D19:I19,"y")/C19)</f>
        <v>0.25</v>
      </c>
      <c r="C19" s="27">
        <f>$C$2-COUNTIF(D19:I19, "-")</f>
        <v>4</v>
      </c>
      <c r="D19" s="335" t="s">
        <v>123</v>
      </c>
      <c r="E19" s="315" t="s">
        <v>124</v>
      </c>
      <c r="F19" s="298" t="s">
        <v>77</v>
      </c>
      <c r="G19" s="311" t="s">
        <v>123</v>
      </c>
      <c r="H19" s="324" t="s">
        <v>123</v>
      </c>
      <c r="I19" s="337" t="s">
        <v>77</v>
      </c>
    </row>
    <row r="20" spans="1:14" ht="18" customHeight="1" x14ac:dyDescent="0.2">
      <c r="A20" s="34" t="str">
        <f>OVERALL!A20</f>
        <v>SEEK</v>
      </c>
      <c r="B20" s="3">
        <f>IF(C20=0,"-",COUNTIF(D20:I20,"y")/C20)</f>
        <v>0.5</v>
      </c>
      <c r="C20" s="27">
        <f>$C$2-COUNTIF(D20:I20, "-")</f>
        <v>4</v>
      </c>
      <c r="D20" s="335" t="s">
        <v>124</v>
      </c>
      <c r="E20" s="315" t="s">
        <v>124</v>
      </c>
      <c r="F20" s="298" t="s">
        <v>77</v>
      </c>
      <c r="G20" s="311" t="s">
        <v>123</v>
      </c>
      <c r="H20" s="324" t="s">
        <v>123</v>
      </c>
      <c r="I20" s="337" t="s">
        <v>77</v>
      </c>
      <c r="K20" t="s">
        <v>1</v>
      </c>
    </row>
    <row r="21" spans="1:14" ht="18" customHeight="1" x14ac:dyDescent="0.2">
      <c r="A21" s="34" t="str">
        <f>OVERALL!A21</f>
        <v>CONFIDENCE</v>
      </c>
      <c r="B21" s="3">
        <f>IF(C21=0,"-",COUNTIF(D21:I21,"y")/C21)</f>
        <v>1</v>
      </c>
      <c r="C21" s="27">
        <f>$C$2-COUNTIF(D21:I21, "-")</f>
        <v>4</v>
      </c>
      <c r="D21" s="335" t="s">
        <v>124</v>
      </c>
      <c r="E21" s="315" t="s">
        <v>124</v>
      </c>
      <c r="F21" s="298" t="s">
        <v>77</v>
      </c>
      <c r="G21" s="311" t="s">
        <v>124</v>
      </c>
      <c r="H21" s="324" t="s">
        <v>124</v>
      </c>
      <c r="I21" s="337" t="s">
        <v>77</v>
      </c>
    </row>
    <row r="22" spans="1:14" ht="18" customHeight="1" x14ac:dyDescent="0.2">
      <c r="A22" s="2"/>
      <c r="C22" s="63">
        <f>AVERAGE(C18:C21)</f>
        <v>4</v>
      </c>
      <c r="D22" s="28">
        <f t="shared" ref="D22:I22" si="5">COUNTA(D18:D21)-COUNTIF(D18:D21, "-")</f>
        <v>4</v>
      </c>
      <c r="E22" s="28">
        <f t="shared" si="5"/>
        <v>4</v>
      </c>
      <c r="F22" s="28">
        <f t="shared" si="5"/>
        <v>0</v>
      </c>
      <c r="G22" s="28">
        <f t="shared" si="5"/>
        <v>4</v>
      </c>
      <c r="H22" s="28">
        <f t="shared" si="5"/>
        <v>4</v>
      </c>
      <c r="I22" s="28">
        <f t="shared" si="5"/>
        <v>0</v>
      </c>
    </row>
    <row r="23" spans="1:14" ht="18" customHeight="1" x14ac:dyDescent="0.2">
      <c r="A23" s="20" t="str">
        <f>OVERALL!A23</f>
        <v>CLOSE</v>
      </c>
      <c r="B23" s="21">
        <f>IF(C27=0,"-",AVERAGE(B24:B26))</f>
        <v>0.58333333333333337</v>
      </c>
      <c r="C23" s="1" t="s">
        <v>1</v>
      </c>
      <c r="D23" s="30">
        <f>IF(D27=0,"-",(COUNTIF(D24:D26, "y")/D27)*OVERALL!$C$23)</f>
        <v>0</v>
      </c>
      <c r="E23" s="30">
        <f>IF(E27=0,"-",(COUNTIF(E24:E26, "y")/E27)*OVERALL!$C$23)</f>
        <v>0.15</v>
      </c>
      <c r="F23" s="30" t="str">
        <f>IF(F27=0,"-",(COUNTIF(F24:F26, "y")/F27)*OVERALL!$C$23)</f>
        <v>-</v>
      </c>
      <c r="G23" s="30">
        <f>IF(G27=0,"-",(COUNTIF(G24:G26, "y")/G27)*OVERALL!$C$23)</f>
        <v>9.9999999999999992E-2</v>
      </c>
      <c r="H23" s="30">
        <f>IF(H27=0,"-",(COUNTIF(H24:H26, "y")/H27)*OVERALL!$C$23)</f>
        <v>9.9999999999999992E-2</v>
      </c>
      <c r="I23" s="30" t="str">
        <f>IF(I27=0,"-",(COUNTIF(I24:I26, "y")/I27)*OVERALL!$C$23)</f>
        <v>-</v>
      </c>
    </row>
    <row r="24" spans="1:14" ht="18" customHeight="1" x14ac:dyDescent="0.2">
      <c r="A24" s="34" t="str">
        <f>OVERALL!A24</f>
        <v>QUESTIONS</v>
      </c>
      <c r="B24" s="3">
        <f>IF(C24=0,"-",COUNTIF(D24:I24,"y")/C24)</f>
        <v>0.75</v>
      </c>
      <c r="C24" s="27">
        <f>$C$2-COUNTIF(D24:I24, "-")</f>
        <v>4</v>
      </c>
      <c r="D24" s="335" t="s">
        <v>123</v>
      </c>
      <c r="E24" s="315" t="s">
        <v>124</v>
      </c>
      <c r="F24" s="262" t="s">
        <v>77</v>
      </c>
      <c r="G24" s="262" t="s">
        <v>124</v>
      </c>
      <c r="H24" s="262" t="s">
        <v>124</v>
      </c>
      <c r="I24" s="262" t="s">
        <v>77</v>
      </c>
    </row>
    <row r="25" spans="1:14" ht="18" customHeight="1" x14ac:dyDescent="0.2">
      <c r="A25" s="34" t="str">
        <f>OVERALL!A25</f>
        <v>GRATITUDE</v>
      </c>
      <c r="B25" s="3">
        <f>IF(C25=0,"-",COUNTIF(D25:I25,"y")/C25)</f>
        <v>0.25</v>
      </c>
      <c r="C25" s="27">
        <f>$C$2-COUNTIF(D25:I25, "-")</f>
        <v>4</v>
      </c>
      <c r="D25" s="335" t="s">
        <v>123</v>
      </c>
      <c r="E25" s="315" t="s">
        <v>124</v>
      </c>
      <c r="F25" s="263" t="s">
        <v>77</v>
      </c>
      <c r="G25" s="263" t="s">
        <v>123</v>
      </c>
      <c r="H25" s="263" t="s">
        <v>123</v>
      </c>
      <c r="I25" s="263" t="s">
        <v>77</v>
      </c>
    </row>
    <row r="26" spans="1:14" ht="18" customHeight="1" x14ac:dyDescent="0.2">
      <c r="A26" s="34" t="str">
        <f>OVERALL!A26</f>
        <v>THANKS</v>
      </c>
      <c r="B26" s="3">
        <f>IF(C26=0,"-",COUNTIF(D26:I26,"y")/C26)</f>
        <v>0.75</v>
      </c>
      <c r="C26" s="27">
        <f>$C$2-COUNTIF(D26:I26, "-")</f>
        <v>4</v>
      </c>
      <c r="D26" s="335" t="s">
        <v>123</v>
      </c>
      <c r="E26" s="315" t="s">
        <v>124</v>
      </c>
      <c r="F26" s="263" t="s">
        <v>77</v>
      </c>
      <c r="G26" s="263" t="s">
        <v>124</v>
      </c>
      <c r="H26" s="263" t="s">
        <v>124</v>
      </c>
      <c r="I26" s="263" t="s">
        <v>77</v>
      </c>
    </row>
    <row r="27" spans="1:14" ht="18" customHeight="1" x14ac:dyDescent="0.2">
      <c r="A27" s="2"/>
      <c r="C27" s="63">
        <f>AVERAGE(C24:C26)</f>
        <v>4</v>
      </c>
      <c r="D27" s="28">
        <f t="shared" ref="D27:I27" si="6">COUNTA(D24:D26)-COUNTIF(D24:D26, "-")</f>
        <v>3</v>
      </c>
      <c r="E27" s="28">
        <f t="shared" si="6"/>
        <v>3</v>
      </c>
      <c r="F27" s="28">
        <f t="shared" si="6"/>
        <v>0</v>
      </c>
      <c r="G27" s="28">
        <f t="shared" si="6"/>
        <v>3</v>
      </c>
      <c r="H27" s="28">
        <f t="shared" si="6"/>
        <v>3</v>
      </c>
      <c r="I27" s="28">
        <f t="shared" si="6"/>
        <v>0</v>
      </c>
    </row>
    <row r="28" spans="1:14" ht="18" customHeight="1" x14ac:dyDescent="0.2">
      <c r="A28" s="20" t="str">
        <f>OVERALL!A28</f>
        <v>IMPACT</v>
      </c>
      <c r="B28" s="21">
        <f>IF(C33=0,"-",AVERAGE(B29:B32))</f>
        <v>0.5</v>
      </c>
      <c r="C28" s="1" t="s">
        <v>1</v>
      </c>
      <c r="D28" s="30">
        <f>IF(D33=0,"-",(COUNTIF(D29:D32, "y")/D33)*OVERALL!$C$28)</f>
        <v>0.15000000000000002</v>
      </c>
      <c r="E28" s="30">
        <f>IF(E33=0,"-",(COUNTIF(E29:E32, "y")/E33)*OVERALL!$C$28)</f>
        <v>0.1</v>
      </c>
      <c r="F28" s="30" t="str">
        <f>IF(F33=0,"-",(COUNTIF(F29:F32, "y")/F33)*OVERALL!$C$28)</f>
        <v>-</v>
      </c>
      <c r="G28" s="30">
        <f>IF(G33=0,"-",(COUNTIF(G29:G32, "y")/G33)*OVERALL!$C$28)</f>
        <v>0.05</v>
      </c>
      <c r="H28" s="30">
        <f>IF(H33=0,"-",(COUNTIF(H29:H32, "y")/H33)*OVERALL!$C$28)</f>
        <v>0.1</v>
      </c>
      <c r="I28" s="30" t="str">
        <f>IF(I33=0,"-",(COUNTIF(I29:I32, "y")/I33)*OVERALL!$C$28)</f>
        <v>-</v>
      </c>
    </row>
    <row r="29" spans="1:14" ht="18" customHeight="1" x14ac:dyDescent="0.2">
      <c r="A29" s="34" t="str">
        <f>OVERALL!A29</f>
        <v>VIBRANCY</v>
      </c>
      <c r="B29" s="3">
        <f>IF(C29=0,"-",COUNTIF(D29:I29,"y")/C29)</f>
        <v>1</v>
      </c>
      <c r="C29" s="27">
        <f>$C$2-COUNTIF(D29:I29, "-")</f>
        <v>4</v>
      </c>
      <c r="D29" s="335" t="s">
        <v>124</v>
      </c>
      <c r="E29" s="315" t="s">
        <v>124</v>
      </c>
      <c r="F29" s="262" t="s">
        <v>77</v>
      </c>
      <c r="G29" s="262" t="s">
        <v>124</v>
      </c>
      <c r="H29" s="262" t="s">
        <v>124</v>
      </c>
      <c r="I29" s="262" t="s">
        <v>77</v>
      </c>
    </row>
    <row r="30" spans="1:14" ht="18" customHeight="1" x14ac:dyDescent="0.2">
      <c r="A30" s="34" t="str">
        <f>OVERALL!A30</f>
        <v>EMPATHY</v>
      </c>
      <c r="B30" s="3">
        <f>IF(C30=0,"-",COUNTIF(D30:I30,"y")/C30)</f>
        <v>0.5</v>
      </c>
      <c r="C30" s="27">
        <f>$C$2-COUNTIF(D30:I30, "-")</f>
        <v>4</v>
      </c>
      <c r="D30" s="335" t="s">
        <v>124</v>
      </c>
      <c r="E30" s="315" t="s">
        <v>123</v>
      </c>
      <c r="F30" s="263" t="s">
        <v>77</v>
      </c>
      <c r="G30" s="263" t="s">
        <v>123</v>
      </c>
      <c r="H30" s="263" t="s">
        <v>124</v>
      </c>
      <c r="I30" s="263" t="s">
        <v>77</v>
      </c>
    </row>
    <row r="31" spans="1:14" ht="18" customHeight="1" x14ac:dyDescent="0.2">
      <c r="A31" s="34" t="str">
        <f>OVERALL!A31</f>
        <v>CONTROL</v>
      </c>
      <c r="B31" s="3">
        <f>IF(C31=0,"-",COUNTIF(D31:I31,"y")/C31)</f>
        <v>0.25</v>
      </c>
      <c r="C31" s="27">
        <f>$C$2-COUNTIF(D31:I31, "-")</f>
        <v>4</v>
      </c>
      <c r="D31" s="335" t="s">
        <v>123</v>
      </c>
      <c r="E31" s="315" t="s">
        <v>124</v>
      </c>
      <c r="F31" s="263" t="s">
        <v>77</v>
      </c>
      <c r="G31" s="263" t="s">
        <v>123</v>
      </c>
      <c r="H31" s="263" t="s">
        <v>123</v>
      </c>
      <c r="I31" s="263" t="s">
        <v>77</v>
      </c>
    </row>
    <row r="32" spans="1:14" ht="18" customHeight="1" x14ac:dyDescent="0.2">
      <c r="A32" s="34" t="str">
        <f>OVERALL!A32</f>
        <v>CLARITY</v>
      </c>
      <c r="B32" s="3">
        <f>IF(C32=0,"-",COUNTIF(D32:I32,"y")/C32)</f>
        <v>0.25</v>
      </c>
      <c r="C32" s="27">
        <f>$C$2-COUNTIF(D32:I32, "-")</f>
        <v>4</v>
      </c>
      <c r="D32" s="335" t="s">
        <v>124</v>
      </c>
      <c r="E32" s="315" t="s">
        <v>123</v>
      </c>
      <c r="F32" s="298" t="s">
        <v>77</v>
      </c>
      <c r="G32" s="311" t="s">
        <v>123</v>
      </c>
      <c r="H32" s="324" t="s">
        <v>123</v>
      </c>
      <c r="I32" s="337" t="s">
        <v>77</v>
      </c>
      <c r="N32" t="s">
        <v>1</v>
      </c>
    </row>
    <row r="33" spans="1:16" ht="18" customHeight="1" x14ac:dyDescent="0.2">
      <c r="A33" s="5"/>
      <c r="B33" s="6"/>
      <c r="C33" s="63">
        <f>AVERAGE(C29:C32)</f>
        <v>4</v>
      </c>
      <c r="D33" s="28">
        <f t="shared" ref="D33:I33" si="7">COUNTA(D29:D32)-COUNTIF(D29:D32, "-")</f>
        <v>4</v>
      </c>
      <c r="E33" s="28">
        <f t="shared" si="7"/>
        <v>4</v>
      </c>
      <c r="F33" s="28">
        <f t="shared" si="7"/>
        <v>0</v>
      </c>
      <c r="G33" s="28">
        <f t="shared" si="7"/>
        <v>4</v>
      </c>
      <c r="H33" s="28">
        <f t="shared" si="7"/>
        <v>4</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4</v>
      </c>
      <c r="D35" s="335" t="s">
        <v>123</v>
      </c>
      <c r="E35" s="315" t="s">
        <v>123</v>
      </c>
      <c r="F35" s="298" t="s">
        <v>77</v>
      </c>
      <c r="G35" s="311" t="s">
        <v>123</v>
      </c>
      <c r="H35" s="324" t="s">
        <v>123</v>
      </c>
      <c r="I35" s="337" t="s">
        <v>77</v>
      </c>
      <c r="K35" s="48">
        <v>-0.3</v>
      </c>
      <c r="M35" s="48"/>
      <c r="N35" s="48"/>
      <c r="O35" s="48"/>
    </row>
    <row r="36" spans="1:16" ht="18" customHeight="1" x14ac:dyDescent="0.2">
      <c r="A36" s="45" t="str">
        <f>OVERALL!A36</f>
        <v>AUDIO ISSUE (DISTRACTION)</v>
      </c>
      <c r="B36" s="3">
        <f>IF(C36=0,"-",COUNTIF(D36:I36,"y")/C36)</f>
        <v>0</v>
      </c>
      <c r="C36" s="27">
        <f>$C$2-COUNTIF(D36:I36, "-")</f>
        <v>4</v>
      </c>
      <c r="D36" s="335" t="s">
        <v>123</v>
      </c>
      <c r="E36" s="315" t="s">
        <v>123</v>
      </c>
      <c r="F36" s="298" t="s">
        <v>77</v>
      </c>
      <c r="G36" s="311" t="s">
        <v>123</v>
      </c>
      <c r="H36" s="324" t="s">
        <v>123</v>
      </c>
      <c r="I36" s="337" t="s">
        <v>77</v>
      </c>
      <c r="K36" s="48">
        <v>-0.1</v>
      </c>
      <c r="M36" s="48"/>
      <c r="N36" s="48"/>
      <c r="O36" s="48"/>
    </row>
    <row r="37" spans="1:16" ht="18" customHeight="1" x14ac:dyDescent="0.2">
      <c r="A37" s="5"/>
      <c r="B37" s="6"/>
      <c r="C37" s="63">
        <f>C35</f>
        <v>4</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84" t="str">
        <f>OVERALL!A38</f>
        <v>ADDITIONAL INSIGHT</v>
      </c>
      <c r="B38" s="385"/>
      <c r="C38" s="10" t="s">
        <v>1</v>
      </c>
      <c r="D38" s="31"/>
      <c r="E38" s="31"/>
      <c r="F38" s="31"/>
      <c r="G38" s="31"/>
      <c r="H38" s="31"/>
      <c r="I38" s="31"/>
    </row>
    <row r="39" spans="1:16" ht="18" customHeight="1" x14ac:dyDescent="0.2">
      <c r="A39" s="34" t="str">
        <f>OVERALL!A39</f>
        <v>CALL ANSWERED-QUALITY</v>
      </c>
      <c r="B39" s="3">
        <f>IF(C39=0,"-",COUNTIF(D39:I39, "y")/C39)</f>
        <v>0.66666666666666663</v>
      </c>
      <c r="C39" s="27">
        <f t="shared" ref="C39:C45" si="10">$C$2-COUNTIF(D39:I39, "-")</f>
        <v>6</v>
      </c>
      <c r="D39" s="335" t="s">
        <v>124</v>
      </c>
      <c r="E39" s="315" t="s">
        <v>124</v>
      </c>
      <c r="F39" s="298" t="s">
        <v>123</v>
      </c>
      <c r="G39" s="311" t="s">
        <v>124</v>
      </c>
      <c r="H39" s="324" t="s">
        <v>124</v>
      </c>
      <c r="I39" s="337" t="s">
        <v>123</v>
      </c>
    </row>
    <row r="40" spans="1:16" ht="18" customHeight="1" x14ac:dyDescent="0.2">
      <c r="A40" s="34" t="str">
        <f>OVERALL!A40</f>
        <v>TALK TIME</v>
      </c>
      <c r="B40" s="276">
        <f>IF(C40=0,"-",AVERAGE(D40:I40))</f>
        <v>2.9542824074074076E-3</v>
      </c>
      <c r="C40" s="27">
        <f t="shared" si="10"/>
        <v>4</v>
      </c>
      <c r="D40" s="275">
        <v>2.4305555555555556E-3</v>
      </c>
      <c r="E40" s="275">
        <v>4.8726851851851848E-3</v>
      </c>
      <c r="F40" s="275" t="s">
        <v>77</v>
      </c>
      <c r="G40" s="275">
        <v>1.9328703703703704E-3</v>
      </c>
      <c r="H40" s="275">
        <v>2.5810185185185185E-3</v>
      </c>
      <c r="I40" s="340" t="s">
        <v>77</v>
      </c>
      <c r="J40" s="46"/>
      <c r="K40" s="274"/>
      <c r="L40" s="274"/>
      <c r="M40" s="274"/>
      <c r="N40" s="274"/>
      <c r="O40" s="274"/>
      <c r="P40" s="274"/>
    </row>
    <row r="41" spans="1:16" ht="18" customHeight="1" x14ac:dyDescent="0.2">
      <c r="A41" s="34" t="str">
        <f>OVERALL!A41</f>
        <v>ASSESSOR RATING (0-10)</v>
      </c>
      <c r="B41" s="22">
        <f>IF(C41=0,"-",SUM(D41:I41)/C41)</f>
        <v>4.25</v>
      </c>
      <c r="C41" s="27">
        <f t="shared" si="10"/>
        <v>4</v>
      </c>
      <c r="D41" s="266">
        <v>4</v>
      </c>
      <c r="E41" s="266">
        <v>7</v>
      </c>
      <c r="F41" s="266" t="s">
        <v>77</v>
      </c>
      <c r="G41" s="266">
        <v>3</v>
      </c>
      <c r="H41" s="266">
        <v>3</v>
      </c>
      <c r="I41" s="341" t="s">
        <v>77</v>
      </c>
    </row>
    <row r="42" spans="1:16" ht="18" customHeight="1" x14ac:dyDescent="0.2">
      <c r="A42" s="34" t="str">
        <f>OVERALL!A42</f>
        <v>EXPLAINED KEY FEATURES</v>
      </c>
      <c r="B42" s="3">
        <f>IF(C42=0,"-",COUNTIF(D42:I42, "y")/C42)</f>
        <v>0.75</v>
      </c>
      <c r="C42" s="27">
        <f t="shared" si="10"/>
        <v>4</v>
      </c>
      <c r="D42" s="335" t="s">
        <v>124</v>
      </c>
      <c r="E42" s="315" t="s">
        <v>124</v>
      </c>
      <c r="F42" s="298" t="s">
        <v>77</v>
      </c>
      <c r="G42" s="311" t="s">
        <v>123</v>
      </c>
      <c r="H42" s="324" t="s">
        <v>124</v>
      </c>
      <c r="I42" s="337" t="s">
        <v>77</v>
      </c>
      <c r="J42" s="47"/>
      <c r="K42" t="s">
        <v>1</v>
      </c>
    </row>
    <row r="43" spans="1:16" ht="18" customHeight="1" x14ac:dyDescent="0.2">
      <c r="A43" s="34" t="str">
        <f>OVERALL!A43</f>
        <v>REVEALED PRICING</v>
      </c>
      <c r="B43" s="3">
        <f>IF(C43=0,"-",COUNTIF(D43:I43, "y")/C43)</f>
        <v>0.75</v>
      </c>
      <c r="C43" s="27">
        <f t="shared" si="10"/>
        <v>4</v>
      </c>
      <c r="D43" s="335" t="s">
        <v>124</v>
      </c>
      <c r="E43" s="315" t="s">
        <v>124</v>
      </c>
      <c r="F43" s="298" t="s">
        <v>77</v>
      </c>
      <c r="G43" s="311" t="s">
        <v>123</v>
      </c>
      <c r="H43" s="324" t="s">
        <v>124</v>
      </c>
      <c r="I43" s="337" t="s">
        <v>77</v>
      </c>
    </row>
    <row r="44" spans="1:16" ht="18" customHeight="1" x14ac:dyDescent="0.2">
      <c r="A44" s="34" t="str">
        <f>OVERALL!A44</f>
        <v>EXPLAINED ACTIONS &amp; PROCESS</v>
      </c>
      <c r="B44" s="3">
        <f>IF(C44=0,"-",COUNTIF(D44:I44, "y")/C44)</f>
        <v>0.5</v>
      </c>
      <c r="C44" s="27">
        <f t="shared" si="10"/>
        <v>4</v>
      </c>
      <c r="D44" s="335" t="s">
        <v>124</v>
      </c>
      <c r="E44" s="315" t="s">
        <v>124</v>
      </c>
      <c r="F44" s="298" t="s">
        <v>77</v>
      </c>
      <c r="G44" s="311" t="s">
        <v>123</v>
      </c>
      <c r="H44" s="324" t="s">
        <v>123</v>
      </c>
      <c r="I44" s="337" t="s">
        <v>77</v>
      </c>
    </row>
    <row r="45" spans="1:16" ht="18" customHeight="1" x14ac:dyDescent="0.2">
      <c r="A45" s="34" t="str">
        <f>OVERALL!A45</f>
        <v>WEBSITE EDUCATION</v>
      </c>
      <c r="B45" s="3">
        <f>IF(C45=0,"-",COUNTIF(D45:I45, "y")/C45)</f>
        <v>0.75</v>
      </c>
      <c r="C45" s="27">
        <f t="shared" si="10"/>
        <v>4</v>
      </c>
      <c r="D45" s="335" t="s">
        <v>124</v>
      </c>
      <c r="E45" s="315" t="s">
        <v>124</v>
      </c>
      <c r="F45" s="298" t="s">
        <v>77</v>
      </c>
      <c r="G45" s="311" t="s">
        <v>123</v>
      </c>
      <c r="H45" s="324" t="s">
        <v>124</v>
      </c>
      <c r="I45" s="337" t="s">
        <v>77</v>
      </c>
    </row>
    <row r="46" spans="1:16" ht="18" customHeight="1" x14ac:dyDescent="0.2">
      <c r="A46" s="18"/>
      <c r="B46" s="3"/>
      <c r="C46" s="27"/>
      <c r="D46" s="268"/>
      <c r="E46" s="268"/>
      <c r="F46" s="268"/>
      <c r="G46" s="268"/>
      <c r="H46" s="268"/>
      <c r="I46" s="268"/>
    </row>
    <row r="47" spans="1:16" ht="195" x14ac:dyDescent="0.2">
      <c r="A47" s="26" t="s">
        <v>1</v>
      </c>
      <c r="B47" s="386" t="s">
        <v>35</v>
      </c>
      <c r="C47" s="387"/>
      <c r="D47" s="24" t="s">
        <v>181</v>
      </c>
      <c r="E47" s="24" t="s">
        <v>151</v>
      </c>
      <c r="F47" s="24" t="s">
        <v>125</v>
      </c>
      <c r="G47" s="24" t="s">
        <v>149</v>
      </c>
      <c r="H47" s="326" t="s">
        <v>167</v>
      </c>
      <c r="I47" s="24" t="s">
        <v>125</v>
      </c>
    </row>
    <row r="48" spans="1:16" ht="18" customHeight="1" x14ac:dyDescent="0.2">
      <c r="A48" s="59" t="s">
        <v>47</v>
      </c>
      <c r="D48" s="50">
        <f t="shared" ref="D48:I48" si="11">IF(D$2="","",IF(D$39="n", "", SUM(D$6,D$12,D$17,D$23,D$28,D$34)))</f>
        <v>0.44166666666666671</v>
      </c>
      <c r="E48" s="50">
        <f t="shared" si="11"/>
        <v>0.73333333333333328</v>
      </c>
      <c r="F48" s="50" t="str">
        <f t="shared" si="11"/>
        <v/>
      </c>
      <c r="G48" s="50">
        <f t="shared" si="11"/>
        <v>0.32916666666666666</v>
      </c>
      <c r="H48" s="50">
        <f t="shared" si="11"/>
        <v>0.37916666666666665</v>
      </c>
      <c r="I48" s="50" t="str">
        <f t="shared" si="11"/>
        <v/>
      </c>
    </row>
    <row r="50" spans="1:10" ht="19" x14ac:dyDescent="0.25">
      <c r="A50" s="110" t="s">
        <v>74</v>
      </c>
      <c r="B50" s="90" t="s">
        <v>75</v>
      </c>
    </row>
    <row r="51" spans="1:10" x14ac:dyDescent="0.2">
      <c r="A51" s="111" t="s">
        <v>63</v>
      </c>
      <c r="B51" s="112">
        <v>0.3</v>
      </c>
      <c r="C51" s="111"/>
      <c r="D51" s="256">
        <f>[1]GREAT_SOUTHERN!D$4</f>
        <v>0.64166666666666672</v>
      </c>
      <c r="E51" s="256">
        <f>[1]GREAT_SOUTHERN!E$4</f>
        <v>0.75416666666666665</v>
      </c>
      <c r="F51" s="256">
        <f>[1]GREAT_SOUTHERN!F$4</f>
        <v>4.2857142857142816E-2</v>
      </c>
      <c r="G51" s="256">
        <f>[1]GREAT_SOUTHERN!G$4</f>
        <v>0.66041666666666665</v>
      </c>
      <c r="H51" s="256">
        <f>[1]GREAT_SOUTHERN!H$4</f>
        <v>0.72291666666666665</v>
      </c>
      <c r="I51" s="256">
        <f>[1]GREAT_SOUTHERN!I$4</f>
        <v>0.15982142857142856</v>
      </c>
      <c r="J51" s="256" t="s">
        <v>1</v>
      </c>
    </row>
    <row r="52" spans="1:10" x14ac:dyDescent="0.2">
      <c r="A52" s="111" t="s">
        <v>64</v>
      </c>
      <c r="B52" s="112">
        <v>0.7</v>
      </c>
      <c r="C52" s="111"/>
      <c r="D52" s="257">
        <f t="shared" ref="D52:I52" si="12">D4</f>
        <v>0.44166666666666671</v>
      </c>
      <c r="E52" s="257">
        <f t="shared" si="12"/>
        <v>0.73333333333333328</v>
      </c>
      <c r="F52" s="257" t="str">
        <f t="shared" si="12"/>
        <v>-</v>
      </c>
      <c r="G52" s="257">
        <f t="shared" si="12"/>
        <v>0.32916666666666666</v>
      </c>
      <c r="H52" s="257">
        <f t="shared" si="12"/>
        <v>0.37916666666666665</v>
      </c>
      <c r="I52" s="257" t="str">
        <f t="shared" si="12"/>
        <v>-</v>
      </c>
    </row>
    <row r="53" spans="1:10" x14ac:dyDescent="0.2">
      <c r="A53" t="s">
        <v>1</v>
      </c>
      <c r="D53" s="49"/>
      <c r="E53" s="49"/>
      <c r="F53" s="49"/>
      <c r="G53" s="49"/>
      <c r="H53" s="49"/>
      <c r="I53" s="49"/>
    </row>
    <row r="54" spans="1:10" x14ac:dyDescent="0.2">
      <c r="A54" s="113" t="s">
        <v>76</v>
      </c>
      <c r="D54" s="49"/>
      <c r="E54" s="49"/>
      <c r="F54" s="49"/>
      <c r="G54" s="49"/>
      <c r="H54" s="49"/>
      <c r="I54" s="49"/>
    </row>
    <row r="55" spans="1:10" x14ac:dyDescent="0.2">
      <c r="A55" s="111" t="s">
        <v>63</v>
      </c>
      <c r="B55" s="111"/>
      <c r="C55" s="111"/>
      <c r="D55" s="257">
        <f>IF(D51="-","-",D51*$B$51)</f>
        <v>0.1925</v>
      </c>
      <c r="E55" s="257">
        <f t="shared" ref="E55:I55" si="13">IF(E51="-","-",E51*$B$51)</f>
        <v>0.22624999999999998</v>
      </c>
      <c r="F55" s="257">
        <f t="shared" si="13"/>
        <v>1.2857142857142845E-2</v>
      </c>
      <c r="G55" s="257">
        <f t="shared" si="13"/>
        <v>0.198125</v>
      </c>
      <c r="H55" s="257">
        <f t="shared" si="13"/>
        <v>0.21687499999999998</v>
      </c>
      <c r="I55" s="257">
        <f t="shared" si="13"/>
        <v>4.7946428571428563E-2</v>
      </c>
    </row>
    <row r="56" spans="1:10" x14ac:dyDescent="0.2">
      <c r="A56" s="111" t="s">
        <v>64</v>
      </c>
      <c r="B56" s="111"/>
      <c r="C56" s="111"/>
      <c r="D56" s="257">
        <f t="shared" ref="D56:I56" si="14">IF(D52="-","-",D52*$B$52)</f>
        <v>0.3091666666666667</v>
      </c>
      <c r="E56" s="257">
        <f t="shared" si="14"/>
        <v>0.51333333333333331</v>
      </c>
      <c r="F56" s="257" t="str">
        <f t="shared" si="14"/>
        <v>-</v>
      </c>
      <c r="G56" s="257">
        <f t="shared" si="14"/>
        <v>0.23041666666666666</v>
      </c>
      <c r="H56" s="257">
        <f t="shared" si="14"/>
        <v>0.26541666666666663</v>
      </c>
      <c r="I56" s="257" t="str">
        <f t="shared" si="14"/>
        <v>-</v>
      </c>
    </row>
    <row r="57" spans="1:10" x14ac:dyDescent="0.2">
      <c r="A57" s="114" t="s">
        <v>59</v>
      </c>
      <c r="B57" s="114"/>
      <c r="C57" s="114"/>
      <c r="D57" s="115">
        <f t="shared" ref="D57:I57" si="15">IF(D51="","",IF(D52="","",SUM(D55:D56)))</f>
        <v>0.50166666666666671</v>
      </c>
      <c r="E57" s="115">
        <f t="shared" si="15"/>
        <v>0.73958333333333326</v>
      </c>
      <c r="F57" s="115">
        <f t="shared" si="15"/>
        <v>1.2857142857142845E-2</v>
      </c>
      <c r="G57" s="115">
        <f t="shared" si="15"/>
        <v>0.42854166666666665</v>
      </c>
      <c r="H57" s="115">
        <f t="shared" si="15"/>
        <v>0.48229166666666662</v>
      </c>
      <c r="I57" s="115">
        <f t="shared" si="15"/>
        <v>4.7946428571428563E-2</v>
      </c>
    </row>
  </sheetData>
  <mergeCells count="2">
    <mergeCell ref="A38:B38"/>
    <mergeCell ref="B47:C47"/>
  </mergeCells>
  <conditionalFormatting sqref="B4">
    <cfRule type="containsBlanks" dxfId="84" priority="6">
      <formula>LEN(TRIM(B4))=0</formula>
    </cfRule>
    <cfRule type="cellIs" dxfId="83" priority="7" operator="greaterThanOrEqual">
      <formula>0.905</formula>
    </cfRule>
    <cfRule type="cellIs" dxfId="82" priority="8" operator="between">
      <formula>0.754999</formula>
      <formula>0.905</formula>
    </cfRule>
    <cfRule type="cellIs" dxfId="81" priority="9" operator="between">
      <formula>0.604999</formula>
      <formula>0.754999</formula>
    </cfRule>
    <cfRule type="cellIs" dxfId="80" priority="10" operator="between">
      <formula>0.44999</formula>
      <formula>0.605</formula>
    </cfRule>
    <cfRule type="cellIs" dxfId="79" priority="11" operator="lessThan">
      <formula>0.45</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7"/>
  <sheetViews>
    <sheetView zoomScale="80" zoomScaleNormal="80" workbookViewId="0">
      <pane xSplit="3" ySplit="6" topLeftCell="D7" activePane="bottomRight" state="frozen"/>
      <selection activeCell="F39" sqref="F39:F47"/>
      <selection pane="topRight" activeCell="F39" sqref="F39:F47"/>
      <selection pane="bottomLeft" activeCell="F39" sqref="F39:F47"/>
      <selection pane="bottomRight" activeCell="H61" sqref="H61"/>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36" t="s">
        <v>182</v>
      </c>
      <c r="E2" s="314" t="s">
        <v>138</v>
      </c>
      <c r="F2" s="306" t="s">
        <v>138</v>
      </c>
      <c r="G2" s="314" t="s">
        <v>155</v>
      </c>
      <c r="H2" s="325" t="s">
        <v>155</v>
      </c>
      <c r="I2" s="343" t="s">
        <v>155</v>
      </c>
    </row>
    <row r="3" spans="1:11" ht="19" x14ac:dyDescent="0.2">
      <c r="A3" s="33" t="str">
        <f>OVERALL!L1</f>
        <v>HUME BANK</v>
      </c>
      <c r="B3" s="248">
        <f>OVERALL!L3</f>
        <v>0.74802579365079369</v>
      </c>
      <c r="C3" s="108" t="s">
        <v>73</v>
      </c>
      <c r="D3" s="109">
        <f>IF(D2="-","-",D57)</f>
        <v>0.69166666666666665</v>
      </c>
      <c r="E3" s="109">
        <f t="shared" ref="E3:H3" si="0">IF(E2="-","-",E57)</f>
        <v>0.79604166666666665</v>
      </c>
      <c r="F3" s="109">
        <f t="shared" si="0"/>
        <v>0.88937500000000003</v>
      </c>
      <c r="G3" s="109">
        <f t="shared" si="0"/>
        <v>0.70104166666666679</v>
      </c>
      <c r="H3" s="109">
        <f t="shared" si="0"/>
        <v>0.70836309523809526</v>
      </c>
      <c r="I3" s="109">
        <f t="shared" ref="I3" si="1">IF(I2=0,"-",I57)</f>
        <v>0.70166666666666666</v>
      </c>
    </row>
    <row r="4" spans="1:11" ht="18" customHeight="1" x14ac:dyDescent="0.2">
      <c r="A4" s="17" t="str">
        <f>OVERALL!A4</f>
        <v>QUALITY SCORE</v>
      </c>
      <c r="B4" s="38">
        <f>IF(C2=0, "-", IF(COUNTIF(D39:I39, "n")=C2, "-", IF(COUNT(D4:I4)=0, "-", AVERAGE(D4:I4))))</f>
        <v>0.68680555555555556</v>
      </c>
      <c r="C4" s="58" t="s">
        <v>1</v>
      </c>
      <c r="D4" s="38">
        <f>IF(D48&lt;0%,0%,IF(D$2="-","-",IF(D$39="n", "-", SUM(D$6,D$12,D$17,D$23,D$28,D$34))))</f>
        <v>0.60416666666666663</v>
      </c>
      <c r="E4" s="38">
        <f t="shared" ref="E4:I4" si="2">IF(E48&lt;0%,0%,IF(E$2="-","-",IF(E$39="n", "-", SUM(E$6,E$12,E$17,E$23,E$28,E$34))))</f>
        <v>0.76666666666666661</v>
      </c>
      <c r="F4" s="38">
        <f t="shared" si="2"/>
        <v>0.90000000000000013</v>
      </c>
      <c r="G4" s="38">
        <f t="shared" si="2"/>
        <v>0.60416666666666674</v>
      </c>
      <c r="H4" s="38">
        <f t="shared" si="2"/>
        <v>0.65416666666666667</v>
      </c>
      <c r="I4" s="38">
        <f t="shared" si="2"/>
        <v>0.59166666666666667</v>
      </c>
      <c r="K4" s="12" t="s">
        <v>8</v>
      </c>
    </row>
    <row r="5" spans="1:11" ht="18" customHeight="1" x14ac:dyDescent="0.25">
      <c r="A5" s="57" t="s">
        <v>48</v>
      </c>
      <c r="B5" s="58">
        <f>IF(B6="-","-",AVERAGE(D5:I5))</f>
        <v>0.68680555555555556</v>
      </c>
      <c r="C5" s="58" t="s">
        <v>1</v>
      </c>
      <c r="D5" s="60">
        <f t="shared" ref="D5:I5" si="3">IF(D$2="","",IF(D$39="n", "", SUM(D$6,D$12,D$17,D$23,D$28)))</f>
        <v>0.60416666666666663</v>
      </c>
      <c r="E5" s="60">
        <f t="shared" si="3"/>
        <v>0.76666666666666661</v>
      </c>
      <c r="F5" s="60">
        <f t="shared" si="3"/>
        <v>0.90000000000000013</v>
      </c>
      <c r="G5" s="60">
        <f t="shared" si="3"/>
        <v>0.60416666666666674</v>
      </c>
      <c r="H5" s="60">
        <f t="shared" si="3"/>
        <v>0.65416666666666667</v>
      </c>
      <c r="I5" s="60">
        <f t="shared" si="3"/>
        <v>0.59166666666666667</v>
      </c>
      <c r="K5" s="7" t="s">
        <v>16</v>
      </c>
    </row>
    <row r="6" spans="1:11" ht="18" customHeight="1" x14ac:dyDescent="0.2">
      <c r="A6" s="20" t="str">
        <f>OVERALL!A6</f>
        <v>ENGAGE</v>
      </c>
      <c r="B6" s="21">
        <f>IF(C11=0,"-",AVERAGE(B7:B10))</f>
        <v>0.54166666666666674</v>
      </c>
      <c r="C6" s="61" t="s">
        <v>0</v>
      </c>
      <c r="D6" s="29">
        <f>IF(D11=0,"-",(COUNTIF(D7:D10, "y")/D11)*OVERALL!$C$6)</f>
        <v>0.15000000000000002</v>
      </c>
      <c r="E6" s="29">
        <f>IF(E11=0,"-",(COUNTIF(E7:E10, "y")/E11)*OVERALL!$C$6)</f>
        <v>0.1</v>
      </c>
      <c r="F6" s="29">
        <f>IF(F11=0,"-",(COUNTIF(F7:F10, "y")/F11)*OVERALL!$C$6)</f>
        <v>0.1</v>
      </c>
      <c r="G6" s="29">
        <f>IF(G11=0,"-",(COUNTIF(G7:G10, "y")/G11)*OVERALL!$C$6)</f>
        <v>0.1</v>
      </c>
      <c r="H6" s="29">
        <f>IF(H11=0,"-",(COUNTIF(H7:H10, "y")/H11)*OVERALL!$C$6)</f>
        <v>0.1</v>
      </c>
      <c r="I6" s="29">
        <f>IF(I11=0,"-",(COUNTIF(I7:I10, "y")/I11)*OVERALL!$C$6)</f>
        <v>0.1</v>
      </c>
    </row>
    <row r="7" spans="1:11" ht="18" customHeight="1" x14ac:dyDescent="0.2">
      <c r="A7" s="34" t="str">
        <f>OVERALL!A7</f>
        <v>WELCOME</v>
      </c>
      <c r="B7" s="3">
        <f>IF(C7=0,"-",COUNTIF(D7:I7,"y")/C7)</f>
        <v>1</v>
      </c>
      <c r="C7" s="27">
        <f>$C$2-COUNTIF(D7:I7, "-")</f>
        <v>6</v>
      </c>
      <c r="D7" s="335" t="s">
        <v>124</v>
      </c>
      <c r="E7" s="315" t="s">
        <v>124</v>
      </c>
      <c r="F7" s="305" t="s">
        <v>124</v>
      </c>
      <c r="G7" s="315" t="s">
        <v>124</v>
      </c>
      <c r="H7" s="324" t="s">
        <v>124</v>
      </c>
      <c r="I7" s="342" t="s">
        <v>124</v>
      </c>
      <c r="K7" s="11" t="s">
        <v>2</v>
      </c>
    </row>
    <row r="8" spans="1:11" ht="18" customHeight="1" x14ac:dyDescent="0.25">
      <c r="A8" s="34" t="str">
        <f>OVERALL!A8</f>
        <v>INTENT</v>
      </c>
      <c r="B8" s="3">
        <f>IF(C8=0,"-",COUNTIF(D8:I8,"y")/C8)</f>
        <v>0.16666666666666666</v>
      </c>
      <c r="C8" s="27">
        <f>$C$2-COUNTIF(D8:I8, "-")</f>
        <v>6</v>
      </c>
      <c r="D8" s="335" t="s">
        <v>124</v>
      </c>
      <c r="E8" s="315" t="s">
        <v>123</v>
      </c>
      <c r="F8" s="305" t="s">
        <v>123</v>
      </c>
      <c r="G8" s="315" t="s">
        <v>123</v>
      </c>
      <c r="H8" s="324" t="s">
        <v>123</v>
      </c>
      <c r="I8" s="342" t="s">
        <v>123</v>
      </c>
      <c r="K8" s="7" t="s">
        <v>15</v>
      </c>
    </row>
    <row r="9" spans="1:11" ht="18" customHeight="1" x14ac:dyDescent="0.2">
      <c r="A9" s="34" t="str">
        <f>OVERALL!A9</f>
        <v>NAME</v>
      </c>
      <c r="B9" s="3">
        <f>IF(C9=0,"-",COUNTIF(D9:I9,"y")/C9)</f>
        <v>1</v>
      </c>
      <c r="C9" s="27">
        <f>$C$2-COUNTIF(D9:I9, "-")</f>
        <v>6</v>
      </c>
      <c r="D9" s="335" t="s">
        <v>124</v>
      </c>
      <c r="E9" s="315" t="s">
        <v>124</v>
      </c>
      <c r="F9" s="305" t="s">
        <v>124</v>
      </c>
      <c r="G9" s="315" t="s">
        <v>124</v>
      </c>
      <c r="H9" s="324" t="s">
        <v>124</v>
      </c>
      <c r="I9" s="342" t="s">
        <v>124</v>
      </c>
      <c r="K9" t="s">
        <v>1</v>
      </c>
    </row>
    <row r="10" spans="1:11" ht="18" customHeight="1" x14ac:dyDescent="0.2">
      <c r="A10" s="34" t="str">
        <f>OVERALL!A10</f>
        <v>BRIDGE</v>
      </c>
      <c r="B10" s="3">
        <f>IF(C10=0,"-",COUNTIF(D10:I10,"y")/C10)</f>
        <v>0</v>
      </c>
      <c r="C10" s="27">
        <f>$C$2-COUNTIF(D10:I10, "-")</f>
        <v>6</v>
      </c>
      <c r="D10" s="335" t="s">
        <v>123</v>
      </c>
      <c r="E10" s="315" t="s">
        <v>123</v>
      </c>
      <c r="F10" s="305" t="s">
        <v>123</v>
      </c>
      <c r="G10" s="315" t="s">
        <v>123</v>
      </c>
      <c r="H10" s="324" t="s">
        <v>123</v>
      </c>
      <c r="I10" s="342" t="s">
        <v>123</v>
      </c>
      <c r="K10" s="13" t="s">
        <v>3</v>
      </c>
    </row>
    <row r="11" spans="1:11" ht="18" customHeight="1" x14ac:dyDescent="0.25">
      <c r="A11" s="2"/>
      <c r="C11" s="63">
        <f>AVERAGE(C7:C10)</f>
        <v>6</v>
      </c>
      <c r="D11" s="28">
        <f t="shared" ref="D11:I11" si="4">COUNTA(D7:D10)-COUNTIF(D7:D10, "-")</f>
        <v>4</v>
      </c>
      <c r="E11" s="28">
        <f t="shared" si="4"/>
        <v>4</v>
      </c>
      <c r="F11" s="28">
        <f t="shared" si="4"/>
        <v>4</v>
      </c>
      <c r="G11" s="28">
        <f t="shared" si="4"/>
        <v>4</v>
      </c>
      <c r="H11" s="28">
        <f t="shared" si="4"/>
        <v>4</v>
      </c>
      <c r="I11" s="28">
        <f t="shared" si="4"/>
        <v>4</v>
      </c>
      <c r="K11" s="8" t="s">
        <v>14</v>
      </c>
    </row>
    <row r="12" spans="1:11" ht="18" customHeight="1" x14ac:dyDescent="0.2">
      <c r="A12" s="20" t="str">
        <f>OVERALL!A12</f>
        <v>DISCOVER</v>
      </c>
      <c r="B12" s="21">
        <f>IF(C16=0,"-",AVERAGE(B13:B15))</f>
        <v>0.44444444444444448</v>
      </c>
      <c r="C12" s="1" t="s">
        <v>1</v>
      </c>
      <c r="D12" s="29">
        <f>IF(D16=0,"-",(COUNTIF(D13:D15, "y")/D16)*OVERALL!$C$12)</f>
        <v>6.6666666666666666E-2</v>
      </c>
      <c r="E12" s="29">
        <f>IF(E16=0,"-",(COUNTIF(E13:E15, "y")/E16)*OVERALL!$C$12)</f>
        <v>6.6666666666666666E-2</v>
      </c>
      <c r="F12" s="29">
        <f>IF(F16=0,"-",(COUNTIF(F13:F15, "y")/F16)*OVERALL!$C$12)</f>
        <v>0.2</v>
      </c>
      <c r="G12" s="29">
        <f>IF(G16=0,"-",(COUNTIF(G13:G15, "y")/G16)*OVERALL!$C$12)</f>
        <v>6.6666666666666666E-2</v>
      </c>
      <c r="H12" s="29">
        <f>IF(H16=0,"-",(COUNTIF(H13:H15, "y")/H16)*OVERALL!$C$12)</f>
        <v>6.6666666666666666E-2</v>
      </c>
      <c r="I12" s="29">
        <f>IF(I16=0,"-",(COUNTIF(I13:I15, "y")/I16)*OVERALL!$C$12)</f>
        <v>6.6666666666666666E-2</v>
      </c>
      <c r="K12" t="s">
        <v>1</v>
      </c>
    </row>
    <row r="13" spans="1:11" ht="18" customHeight="1" x14ac:dyDescent="0.2">
      <c r="A13" s="34" t="str">
        <f>OVERALL!A13</f>
        <v>CONVERSE</v>
      </c>
      <c r="B13" s="3">
        <f>IF(C13=0,"-",COUNTIF(D13:I13,"y")/C13)</f>
        <v>0.16666666666666666</v>
      </c>
      <c r="C13" s="27">
        <f>$C$2-COUNTIF(D13:I13, "-")</f>
        <v>6</v>
      </c>
      <c r="D13" s="335" t="s">
        <v>123</v>
      </c>
      <c r="E13" s="315" t="s">
        <v>123</v>
      </c>
      <c r="F13" s="342" t="s">
        <v>124</v>
      </c>
      <c r="G13" s="315" t="s">
        <v>123</v>
      </c>
      <c r="H13" s="324" t="s">
        <v>123</v>
      </c>
      <c r="I13" s="342" t="s">
        <v>123</v>
      </c>
      <c r="K13" s="14" t="s">
        <v>4</v>
      </c>
    </row>
    <row r="14" spans="1:11" ht="18" customHeight="1" x14ac:dyDescent="0.25">
      <c r="A14" s="34" t="str">
        <f>OVERALL!A14</f>
        <v>LISTEN</v>
      </c>
      <c r="B14" s="3">
        <f>IF(C14=0,"-",COUNTIF(D14:I14,"y")/C14)</f>
        <v>1</v>
      </c>
      <c r="C14" s="27">
        <f>$C$2-COUNTIF(D14:I14, "-")</f>
        <v>6</v>
      </c>
      <c r="D14" s="335" t="s">
        <v>124</v>
      </c>
      <c r="E14" s="315" t="s">
        <v>124</v>
      </c>
      <c r="F14" s="305" t="s">
        <v>124</v>
      </c>
      <c r="G14" s="315" t="s">
        <v>124</v>
      </c>
      <c r="H14" s="324" t="s">
        <v>124</v>
      </c>
      <c r="I14" s="342" t="s">
        <v>124</v>
      </c>
      <c r="K14" s="9" t="s">
        <v>13</v>
      </c>
    </row>
    <row r="15" spans="1:11" ht="18" customHeight="1" x14ac:dyDescent="0.2">
      <c r="A15" s="34" t="str">
        <f>OVERALL!A15</f>
        <v>CONFIRM</v>
      </c>
      <c r="B15" s="3">
        <f>IF(C15=0,"-",COUNTIF(D15:I15,"y")/C15)</f>
        <v>0.16666666666666666</v>
      </c>
      <c r="C15" s="27">
        <f>$C$2-COUNTIF(D15:I15, "-")</f>
        <v>6</v>
      </c>
      <c r="D15" s="335" t="s">
        <v>123</v>
      </c>
      <c r="E15" s="315" t="s">
        <v>123</v>
      </c>
      <c r="F15" s="305" t="s">
        <v>124</v>
      </c>
      <c r="G15" s="315" t="s">
        <v>123</v>
      </c>
      <c r="H15" s="324" t="s">
        <v>123</v>
      </c>
      <c r="I15" s="342" t="s">
        <v>123</v>
      </c>
      <c r="J15" t="s">
        <v>1</v>
      </c>
    </row>
    <row r="16" spans="1:11" ht="18" customHeight="1" x14ac:dyDescent="0.2">
      <c r="A16" s="2"/>
      <c r="C16" s="63">
        <f>AVERAGE(C13:C15)</f>
        <v>6</v>
      </c>
      <c r="D16" s="28">
        <f t="shared" ref="D16:I16" si="5">COUNTA(D13:D15)-COUNTIF(D13:D15, "-")</f>
        <v>3</v>
      </c>
      <c r="E16" s="28">
        <f t="shared" si="5"/>
        <v>3</v>
      </c>
      <c r="F16" s="28">
        <f t="shared" si="5"/>
        <v>3</v>
      </c>
      <c r="G16" s="28">
        <f t="shared" si="5"/>
        <v>3</v>
      </c>
      <c r="H16" s="28">
        <f t="shared" si="5"/>
        <v>3</v>
      </c>
      <c r="I16" s="28">
        <f t="shared" si="5"/>
        <v>3</v>
      </c>
      <c r="K16" s="15" t="s">
        <v>7</v>
      </c>
    </row>
    <row r="17" spans="1:14" ht="18" customHeight="1" x14ac:dyDescent="0.25">
      <c r="A17" s="20" t="str">
        <f>OVERALL!A17</f>
        <v>EDUCATE</v>
      </c>
      <c r="B17" s="21">
        <f>IF(C22=0,"-",AVERAGE(B18:B21))</f>
        <v>0.79166666666666663</v>
      </c>
      <c r="C17" s="1" t="s">
        <v>1</v>
      </c>
      <c r="D17" s="30">
        <f>IF(D22=0,"-",(COUNTIF(D18:D21, "y")/D22)*OVERALL!$C$17)</f>
        <v>0.1875</v>
      </c>
      <c r="E17" s="30">
        <f>IF(E22=0,"-",(COUNTIF(E18:E21, "y")/E22)*OVERALL!$C$17)</f>
        <v>0.25</v>
      </c>
      <c r="F17" s="30">
        <f>IF(F22=0,"-",(COUNTIF(F18:F21, "y")/F22)*OVERALL!$C$17)</f>
        <v>0.25</v>
      </c>
      <c r="G17" s="30">
        <f>IF(G22=0,"-",(COUNTIF(G18:G21, "y")/G22)*OVERALL!$C$17)</f>
        <v>0.1875</v>
      </c>
      <c r="H17" s="30">
        <f>IF(H22=0,"-",(COUNTIF(H18:H21, "y")/H22)*OVERALL!$C$17)</f>
        <v>0.1875</v>
      </c>
      <c r="I17" s="30">
        <f>IF(I22=0,"-",(COUNTIF(I18:I21, "y")/I22)*OVERALL!$C$17)</f>
        <v>0.125</v>
      </c>
      <c r="K17" s="9" t="s">
        <v>6</v>
      </c>
    </row>
    <row r="18" spans="1:14" ht="18" customHeight="1" x14ac:dyDescent="0.2">
      <c r="A18" s="34" t="str">
        <f>OVERALL!A18</f>
        <v>INFORM</v>
      </c>
      <c r="B18" s="3">
        <f>IF(C18=0,"-",COUNTIF(D18:I18,"y")/C18)</f>
        <v>0.66666666666666663</v>
      </c>
      <c r="C18" s="27">
        <f>$C$2-COUNTIF(D18:I18, "-")</f>
        <v>6</v>
      </c>
      <c r="D18" s="335" t="s">
        <v>123</v>
      </c>
      <c r="E18" s="315" t="s">
        <v>124</v>
      </c>
      <c r="F18" s="305" t="s">
        <v>124</v>
      </c>
      <c r="G18" s="315" t="s">
        <v>124</v>
      </c>
      <c r="H18" s="324" t="s">
        <v>124</v>
      </c>
      <c r="I18" s="342" t="s">
        <v>123</v>
      </c>
    </row>
    <row r="19" spans="1:14" ht="18" customHeight="1" x14ac:dyDescent="0.2">
      <c r="A19" s="34" t="str">
        <f>OVERALL!A19</f>
        <v>CHECK</v>
      </c>
      <c r="B19" s="3">
        <f>IF(C19=0,"-",COUNTIF(D19:I19,"y")/C19)</f>
        <v>0.5</v>
      </c>
      <c r="C19" s="27">
        <f>$C$2-COUNTIF(D19:I19, "-")</f>
        <v>6</v>
      </c>
      <c r="D19" s="335" t="s">
        <v>124</v>
      </c>
      <c r="E19" s="315" t="s">
        <v>124</v>
      </c>
      <c r="F19" s="305" t="s">
        <v>124</v>
      </c>
      <c r="G19" s="315" t="s">
        <v>123</v>
      </c>
      <c r="H19" s="324" t="s">
        <v>123</v>
      </c>
      <c r="I19" s="342" t="s">
        <v>123</v>
      </c>
    </row>
    <row r="20" spans="1:14" ht="18" customHeight="1" x14ac:dyDescent="0.2">
      <c r="A20" s="34" t="str">
        <f>OVERALL!A20</f>
        <v>SEEK</v>
      </c>
      <c r="B20" s="3">
        <f>IF(C20=0,"-",COUNTIF(D20:I20,"y")/C20)</f>
        <v>1</v>
      </c>
      <c r="C20" s="27">
        <f>$C$2-COUNTIF(D20:I20, "-")</f>
        <v>6</v>
      </c>
      <c r="D20" s="335" t="s">
        <v>124</v>
      </c>
      <c r="E20" s="315" t="s">
        <v>124</v>
      </c>
      <c r="F20" s="305" t="s">
        <v>124</v>
      </c>
      <c r="G20" s="315" t="s">
        <v>124</v>
      </c>
      <c r="H20" s="324" t="s">
        <v>124</v>
      </c>
      <c r="I20" s="342" t="s">
        <v>124</v>
      </c>
      <c r="K20" t="s">
        <v>1</v>
      </c>
    </row>
    <row r="21" spans="1:14" ht="18" customHeight="1" x14ac:dyDescent="0.2">
      <c r="A21" s="34" t="str">
        <f>OVERALL!A21</f>
        <v>CONFIDENCE</v>
      </c>
      <c r="B21" s="3">
        <f>IF(C21=0,"-",COUNTIF(D21:I21,"y")/C21)</f>
        <v>1</v>
      </c>
      <c r="C21" s="27">
        <f>$C$2-COUNTIF(D21:I21, "-")</f>
        <v>6</v>
      </c>
      <c r="D21" s="335" t="s">
        <v>124</v>
      </c>
      <c r="E21" s="315" t="s">
        <v>124</v>
      </c>
      <c r="F21" s="305" t="s">
        <v>124</v>
      </c>
      <c r="G21" s="315" t="s">
        <v>124</v>
      </c>
      <c r="H21" s="324" t="s">
        <v>124</v>
      </c>
      <c r="I21" s="342" t="s">
        <v>124</v>
      </c>
    </row>
    <row r="22" spans="1:14" ht="18" customHeight="1" x14ac:dyDescent="0.2">
      <c r="A22" s="2"/>
      <c r="C22" s="63">
        <f>AVERAGE(C18:C21)</f>
        <v>6</v>
      </c>
      <c r="D22" s="28">
        <f t="shared" ref="D22:I22" si="6">COUNTA(D18:D21)-COUNTIF(D18:D21, "-")</f>
        <v>4</v>
      </c>
      <c r="E22" s="28">
        <f t="shared" si="6"/>
        <v>4</v>
      </c>
      <c r="F22" s="28">
        <f t="shared" si="6"/>
        <v>4</v>
      </c>
      <c r="G22" s="28">
        <f t="shared" si="6"/>
        <v>4</v>
      </c>
      <c r="H22" s="28">
        <f t="shared" si="6"/>
        <v>4</v>
      </c>
      <c r="I22" s="28">
        <f t="shared" si="6"/>
        <v>4</v>
      </c>
    </row>
    <row r="23" spans="1:14" ht="18" customHeight="1" x14ac:dyDescent="0.2">
      <c r="A23" s="20" t="str">
        <f>OVERALL!A23</f>
        <v>CLOSE</v>
      </c>
      <c r="B23" s="21">
        <f>IF(C27=0,"-",AVERAGE(B24:B26))</f>
        <v>0.77777777777777768</v>
      </c>
      <c r="C23" s="1" t="s">
        <v>1</v>
      </c>
      <c r="D23" s="30">
        <f>IF(D27=0,"-",(COUNTIF(D24:D26, "y")/D27)*OVERALL!$C$23)</f>
        <v>9.9999999999999992E-2</v>
      </c>
      <c r="E23" s="30">
        <f>IF(E27=0,"-",(COUNTIF(E24:E26, "y")/E27)*OVERALL!$C$23)</f>
        <v>0.15</v>
      </c>
      <c r="F23" s="30">
        <f>IF(F27=0,"-",(COUNTIF(F24:F26, "y")/F27)*OVERALL!$C$23)</f>
        <v>0.15</v>
      </c>
      <c r="G23" s="30">
        <f>IF(G27=0,"-",(COUNTIF(G24:G26, "y")/G27)*OVERALL!$C$23)</f>
        <v>9.9999999999999992E-2</v>
      </c>
      <c r="H23" s="30">
        <f>IF(H27=0,"-",(COUNTIF(H24:H26, "y")/H27)*OVERALL!$C$23)</f>
        <v>9.9999999999999992E-2</v>
      </c>
      <c r="I23" s="30">
        <f>IF(I27=0,"-",(COUNTIF(I24:I26, "y")/I27)*OVERALL!$C$23)</f>
        <v>9.9999999999999992E-2</v>
      </c>
    </row>
    <row r="24" spans="1:14" ht="18" customHeight="1" x14ac:dyDescent="0.2">
      <c r="A24" s="34" t="str">
        <f>OVERALL!A24</f>
        <v>QUESTIONS</v>
      </c>
      <c r="B24" s="3">
        <f>IF(C24=0,"-",COUNTIF(D24:I24,"y")/C24)</f>
        <v>1</v>
      </c>
      <c r="C24" s="27">
        <f>$C$2-COUNTIF(D24:I24, "-")</f>
        <v>6</v>
      </c>
      <c r="D24" s="335" t="s">
        <v>124</v>
      </c>
      <c r="E24" s="315" t="s">
        <v>124</v>
      </c>
      <c r="F24" s="262" t="s">
        <v>124</v>
      </c>
      <c r="G24" s="262" t="s">
        <v>124</v>
      </c>
      <c r="H24" s="262" t="s">
        <v>124</v>
      </c>
      <c r="I24" s="262" t="s">
        <v>124</v>
      </c>
    </row>
    <row r="25" spans="1:14" ht="18" customHeight="1" x14ac:dyDescent="0.2">
      <c r="A25" s="34" t="str">
        <f>OVERALL!A25</f>
        <v>GRATITUDE</v>
      </c>
      <c r="B25" s="3">
        <f>IF(C25=0,"-",COUNTIF(D25:I25,"y")/C25)</f>
        <v>0.33333333333333331</v>
      </c>
      <c r="C25" s="27">
        <f>$C$2-COUNTIF(D25:I25, "-")</f>
        <v>6</v>
      </c>
      <c r="D25" s="335" t="s">
        <v>123</v>
      </c>
      <c r="E25" s="315" t="s">
        <v>124</v>
      </c>
      <c r="F25" s="263" t="s">
        <v>124</v>
      </c>
      <c r="G25" s="263" t="s">
        <v>123</v>
      </c>
      <c r="H25" s="263" t="s">
        <v>123</v>
      </c>
      <c r="I25" s="263" t="s">
        <v>123</v>
      </c>
    </row>
    <row r="26" spans="1:14" ht="18" customHeight="1" x14ac:dyDescent="0.2">
      <c r="A26" s="34" t="str">
        <f>OVERALL!A26</f>
        <v>THANKS</v>
      </c>
      <c r="B26" s="3">
        <f>IF(C26=0,"-",COUNTIF(D26:I26,"y")/C26)</f>
        <v>1</v>
      </c>
      <c r="C26" s="27">
        <f>$C$2-COUNTIF(D26:I26, "-")</f>
        <v>6</v>
      </c>
      <c r="D26" s="335" t="s">
        <v>124</v>
      </c>
      <c r="E26" s="315" t="s">
        <v>124</v>
      </c>
      <c r="F26" s="263" t="s">
        <v>124</v>
      </c>
      <c r="G26" s="263" t="s">
        <v>124</v>
      </c>
      <c r="H26" s="263" t="s">
        <v>124</v>
      </c>
      <c r="I26" s="263" t="s">
        <v>124</v>
      </c>
    </row>
    <row r="27" spans="1:14" ht="18" customHeight="1" x14ac:dyDescent="0.2">
      <c r="A27" s="2"/>
      <c r="C27" s="63">
        <f>AVERAGE(C24:C26)</f>
        <v>6</v>
      </c>
      <c r="D27" s="28">
        <f t="shared" ref="D27:I27" si="7">COUNTA(D24:D26)-COUNTIF(D24:D26, "-")</f>
        <v>3</v>
      </c>
      <c r="E27" s="28">
        <f t="shared" si="7"/>
        <v>3</v>
      </c>
      <c r="F27" s="28">
        <f t="shared" si="7"/>
        <v>3</v>
      </c>
      <c r="G27" s="28">
        <f t="shared" si="7"/>
        <v>3</v>
      </c>
      <c r="H27" s="28">
        <f t="shared" si="7"/>
        <v>3</v>
      </c>
      <c r="I27" s="28">
        <f t="shared" si="7"/>
        <v>3</v>
      </c>
    </row>
    <row r="28" spans="1:14" ht="18" customHeight="1" x14ac:dyDescent="0.2">
      <c r="A28" s="20" t="str">
        <f>OVERALL!A28</f>
        <v>IMPACT</v>
      </c>
      <c r="B28" s="21">
        <f>IF(C33=0,"-",AVERAGE(B29:B32))</f>
        <v>0.875</v>
      </c>
      <c r="C28" s="1" t="s">
        <v>1</v>
      </c>
      <c r="D28" s="30">
        <f>IF(D33=0,"-",(COUNTIF(D29:D32, "y")/D33)*OVERALL!$C$28)</f>
        <v>0.1</v>
      </c>
      <c r="E28" s="30">
        <f>IF(E33=0,"-",(COUNTIF(E29:E32, "y")/E33)*OVERALL!$C$28)</f>
        <v>0.2</v>
      </c>
      <c r="F28" s="30">
        <f>IF(F33=0,"-",(COUNTIF(F29:F32, "y")/F33)*OVERALL!$C$28)</f>
        <v>0.2</v>
      </c>
      <c r="G28" s="30">
        <f>IF(G33=0,"-",(COUNTIF(G29:G32, "y")/G33)*OVERALL!$C$28)</f>
        <v>0.15000000000000002</v>
      </c>
      <c r="H28" s="30">
        <f>IF(H33=0,"-",(COUNTIF(H29:H32, "y")/H33)*OVERALL!$C$28)</f>
        <v>0.2</v>
      </c>
      <c r="I28" s="30">
        <f>IF(I33=0,"-",(COUNTIF(I29:I32, "y")/I33)*OVERALL!$C$28)</f>
        <v>0.2</v>
      </c>
    </row>
    <row r="29" spans="1:14" ht="18" customHeight="1" x14ac:dyDescent="0.2">
      <c r="A29" s="34" t="str">
        <f>OVERALL!A29</f>
        <v>VIBRANCY</v>
      </c>
      <c r="B29" s="3">
        <f>IF(C29=0,"-",COUNTIF(D29:I29,"y")/C29)</f>
        <v>1</v>
      </c>
      <c r="C29" s="27">
        <f>$C$2-COUNTIF(D29:I29, "-")</f>
        <v>6</v>
      </c>
      <c r="D29" s="335" t="s">
        <v>124</v>
      </c>
      <c r="E29" s="315" t="s">
        <v>124</v>
      </c>
      <c r="F29" s="262" t="s">
        <v>124</v>
      </c>
      <c r="G29" s="262" t="s">
        <v>124</v>
      </c>
      <c r="H29" s="262" t="s">
        <v>124</v>
      </c>
      <c r="I29" s="262" t="s">
        <v>124</v>
      </c>
    </row>
    <row r="30" spans="1:14" ht="18" customHeight="1" x14ac:dyDescent="0.2">
      <c r="A30" s="34" t="str">
        <f>OVERALL!A30</f>
        <v>EMPATHY</v>
      </c>
      <c r="B30" s="3">
        <f>IF(C30=0,"-",COUNTIF(D30:I30,"y")/C30)</f>
        <v>0.66666666666666663</v>
      </c>
      <c r="C30" s="27">
        <f>$C$2-COUNTIF(D30:I30, "-")</f>
        <v>6</v>
      </c>
      <c r="D30" s="335" t="s">
        <v>123</v>
      </c>
      <c r="E30" s="315" t="s">
        <v>124</v>
      </c>
      <c r="F30" s="263" t="s">
        <v>124</v>
      </c>
      <c r="G30" s="263" t="s">
        <v>123</v>
      </c>
      <c r="H30" s="263" t="s">
        <v>124</v>
      </c>
      <c r="I30" s="263" t="s">
        <v>124</v>
      </c>
    </row>
    <row r="31" spans="1:14" ht="18" customHeight="1" x14ac:dyDescent="0.2">
      <c r="A31" s="34" t="str">
        <f>OVERALL!A31</f>
        <v>CONTROL</v>
      </c>
      <c r="B31" s="3">
        <f>IF(C31=0,"-",COUNTIF(D31:I31,"y")/C31)</f>
        <v>1</v>
      </c>
      <c r="C31" s="27">
        <f>$C$2-COUNTIF(D31:I31, "-")</f>
        <v>6</v>
      </c>
      <c r="D31" s="335" t="s">
        <v>124</v>
      </c>
      <c r="E31" s="315" t="s">
        <v>124</v>
      </c>
      <c r="F31" s="263" t="s">
        <v>124</v>
      </c>
      <c r="G31" s="263" t="s">
        <v>124</v>
      </c>
      <c r="H31" s="263" t="s">
        <v>124</v>
      </c>
      <c r="I31" s="263" t="s">
        <v>124</v>
      </c>
    </row>
    <row r="32" spans="1:14" ht="18" customHeight="1" x14ac:dyDescent="0.2">
      <c r="A32" s="34" t="str">
        <f>OVERALL!A32</f>
        <v>CLARITY</v>
      </c>
      <c r="B32" s="3">
        <f>IF(C32=0,"-",COUNTIF(D32:I32,"y")/C32)</f>
        <v>0.83333333333333337</v>
      </c>
      <c r="C32" s="27">
        <f>$C$2-COUNTIF(D32:I32, "-")</f>
        <v>6</v>
      </c>
      <c r="D32" s="335" t="s">
        <v>123</v>
      </c>
      <c r="E32" s="315" t="s">
        <v>124</v>
      </c>
      <c r="F32" s="305" t="s">
        <v>124</v>
      </c>
      <c r="G32" s="315" t="s">
        <v>124</v>
      </c>
      <c r="H32" s="324" t="s">
        <v>124</v>
      </c>
      <c r="I32" s="342" t="s">
        <v>124</v>
      </c>
      <c r="N32" t="s">
        <v>1</v>
      </c>
    </row>
    <row r="33" spans="1:16" ht="18" customHeight="1" x14ac:dyDescent="0.2">
      <c r="A33" s="5"/>
      <c r="B33" s="6"/>
      <c r="C33" s="63">
        <f>AVERAGE(C29:C32)</f>
        <v>6</v>
      </c>
      <c r="D33" s="28">
        <f t="shared" ref="D33:I33" si="8">COUNTA(D29:D32)-COUNTIF(D29:D32, "-")</f>
        <v>4</v>
      </c>
      <c r="E33" s="28">
        <f t="shared" si="8"/>
        <v>4</v>
      </c>
      <c r="F33" s="28">
        <f t="shared" si="8"/>
        <v>4</v>
      </c>
      <c r="G33" s="28">
        <f t="shared" si="8"/>
        <v>4</v>
      </c>
      <c r="H33" s="28">
        <f t="shared" si="8"/>
        <v>4</v>
      </c>
      <c r="I33" s="28">
        <f t="shared" si="8"/>
        <v>4</v>
      </c>
    </row>
    <row r="34" spans="1:16" ht="18" customHeight="1" x14ac:dyDescent="0.2">
      <c r="A34" s="42" t="str">
        <f>OVERALL!A34</f>
        <v>% OF CALLS WITH DEDUCTIONS</v>
      </c>
      <c r="B34" s="43">
        <f>IF(C37=0,"-",SUM(D37:I37)/C37)</f>
        <v>0</v>
      </c>
      <c r="C34" s="1" t="s">
        <v>1</v>
      </c>
      <c r="D34" s="44" t="str">
        <f t="shared" ref="D34:I34" si="9">IF(D37=0,"-",IF(D37="","-",IF(D35="y",$K$35,IF(D36="y",$K$36,0%))))</f>
        <v>-</v>
      </c>
      <c r="E34" s="44" t="str">
        <f t="shared" si="9"/>
        <v>-</v>
      </c>
      <c r="F34" s="44" t="str">
        <f t="shared" si="9"/>
        <v>-</v>
      </c>
      <c r="G34" s="44" t="str">
        <f t="shared" si="9"/>
        <v>-</v>
      </c>
      <c r="H34" s="44" t="str">
        <f t="shared" si="9"/>
        <v>-</v>
      </c>
      <c r="I34" s="44" t="str">
        <f t="shared" si="9"/>
        <v>-</v>
      </c>
      <c r="K34" s="44" t="s">
        <v>50</v>
      </c>
    </row>
    <row r="35" spans="1:16" ht="18" customHeight="1" x14ac:dyDescent="0.2">
      <c r="A35" s="45" t="str">
        <f>OVERALL!A35</f>
        <v>AUDIO ISSUE (MAJOR IMPACT)</v>
      </c>
      <c r="B35" s="3">
        <f>IF(C35=0,"-",COUNTIF(D35:I35,"y")/C35)</f>
        <v>0</v>
      </c>
      <c r="C35" s="27">
        <f>$C$2-COUNTIF(D35:I35, "-")</f>
        <v>6</v>
      </c>
      <c r="D35" s="335" t="s">
        <v>123</v>
      </c>
      <c r="E35" s="315" t="s">
        <v>123</v>
      </c>
      <c r="F35" s="305" t="s">
        <v>123</v>
      </c>
      <c r="G35" s="315" t="s">
        <v>123</v>
      </c>
      <c r="H35" s="324" t="s">
        <v>123</v>
      </c>
      <c r="I35" s="342" t="s">
        <v>123</v>
      </c>
      <c r="K35" s="48">
        <v>-0.3</v>
      </c>
      <c r="M35" s="48"/>
      <c r="N35" s="48"/>
      <c r="O35" s="48"/>
    </row>
    <row r="36" spans="1:16" ht="18" customHeight="1" x14ac:dyDescent="0.2">
      <c r="A36" s="45" t="str">
        <f>OVERALL!A36</f>
        <v>AUDIO ISSUE (DISTRACTION)</v>
      </c>
      <c r="B36" s="3">
        <f>IF(C36=0,"-",COUNTIF(D36:I36,"y")/C36)</f>
        <v>0</v>
      </c>
      <c r="C36" s="27">
        <f>$C$2-COUNTIF(D36:I36, "-")</f>
        <v>6</v>
      </c>
      <c r="D36" s="335" t="s">
        <v>123</v>
      </c>
      <c r="E36" s="315" t="s">
        <v>123</v>
      </c>
      <c r="F36" s="305" t="s">
        <v>123</v>
      </c>
      <c r="G36" s="315" t="s">
        <v>123</v>
      </c>
      <c r="H36" s="324" t="s">
        <v>123</v>
      </c>
      <c r="I36" s="342" t="s">
        <v>123</v>
      </c>
      <c r="K36" s="48">
        <v>-0.1</v>
      </c>
      <c r="M36" s="48"/>
      <c r="N36" s="48"/>
      <c r="O36" s="48"/>
    </row>
    <row r="37" spans="1:16" ht="18" customHeight="1" x14ac:dyDescent="0.2">
      <c r="A37" s="5"/>
      <c r="B37" s="6"/>
      <c r="C37" s="63">
        <f>C35</f>
        <v>6</v>
      </c>
      <c r="D37" s="28">
        <f t="shared" ref="D37:I37" si="10">IF(D35="NA","",COUNTIF(D35:D36, "y"))</f>
        <v>0</v>
      </c>
      <c r="E37" s="28">
        <f t="shared" si="10"/>
        <v>0</v>
      </c>
      <c r="F37" s="28">
        <f t="shared" si="10"/>
        <v>0</v>
      </c>
      <c r="G37" s="28">
        <f t="shared" si="10"/>
        <v>0</v>
      </c>
      <c r="H37" s="28">
        <f t="shared" si="10"/>
        <v>0</v>
      </c>
      <c r="I37" s="28">
        <f t="shared" si="10"/>
        <v>0</v>
      </c>
    </row>
    <row r="38" spans="1:16" ht="18" customHeight="1" x14ac:dyDescent="0.2">
      <c r="A38" s="269" t="str">
        <f>OVERALL!A38</f>
        <v>ADDITIONAL INSIGHT</v>
      </c>
      <c r="B38" s="270"/>
      <c r="C38" s="10" t="s">
        <v>1</v>
      </c>
      <c r="D38" s="31"/>
      <c r="E38" s="31"/>
      <c r="F38" s="31"/>
      <c r="G38" s="31"/>
      <c r="H38" s="31"/>
      <c r="I38" s="31"/>
    </row>
    <row r="39" spans="1:16" ht="18" customHeight="1" x14ac:dyDescent="0.2">
      <c r="A39" s="34" t="str">
        <f>OVERALL!A39</f>
        <v>CALL ANSWERED-QUALITY</v>
      </c>
      <c r="B39" s="3">
        <f>IF(C39=0,"-",COUNTIF(D39:I39, "y")/C39)</f>
        <v>1</v>
      </c>
      <c r="C39" s="27">
        <f t="shared" ref="C39:C45" si="11">$C$2-COUNTIF(D39:I39, "-")</f>
        <v>6</v>
      </c>
      <c r="D39" s="335" t="s">
        <v>124</v>
      </c>
      <c r="E39" s="315" t="s">
        <v>124</v>
      </c>
      <c r="F39" s="305" t="s">
        <v>124</v>
      </c>
      <c r="G39" s="315" t="s">
        <v>124</v>
      </c>
      <c r="H39" s="324" t="s">
        <v>124</v>
      </c>
      <c r="I39" s="342" t="s">
        <v>124</v>
      </c>
    </row>
    <row r="40" spans="1:16" ht="18" customHeight="1" x14ac:dyDescent="0.2">
      <c r="A40" s="34" t="str">
        <f>OVERALL!A40</f>
        <v>TALK TIME</v>
      </c>
      <c r="B40" s="297">
        <f>IF(C40=0,"-",AVERAGE(D40:I40))</f>
        <v>2.6215277777777777E-3</v>
      </c>
      <c r="C40" s="27">
        <f t="shared" si="11"/>
        <v>6</v>
      </c>
      <c r="D40" s="275">
        <v>3.4953703703703705E-3</v>
      </c>
      <c r="E40" s="275">
        <v>3.6689814814814814E-3</v>
      </c>
      <c r="F40" s="275">
        <v>3.1597222222222222E-3</v>
      </c>
      <c r="G40" s="275">
        <v>1.5740740740740741E-3</v>
      </c>
      <c r="H40" s="275">
        <v>2.1759259259259258E-3</v>
      </c>
      <c r="I40" s="275">
        <v>1.6550925925925926E-3</v>
      </c>
      <c r="J40" s="46"/>
      <c r="K40" s="274"/>
      <c r="L40" s="274"/>
      <c r="M40" s="274"/>
      <c r="N40" s="274"/>
      <c r="O40" s="274"/>
      <c r="P40" s="274"/>
    </row>
    <row r="41" spans="1:16" ht="18" customHeight="1" x14ac:dyDescent="0.2">
      <c r="A41" s="34" t="str">
        <f>OVERALL!A41</f>
        <v>ASSESSOR RATING (0-10)</v>
      </c>
      <c r="B41" s="22">
        <f>IF(C41=0,"-",SUM(D41:I41)/C41)</f>
        <v>6.333333333333333</v>
      </c>
      <c r="C41" s="27">
        <f t="shared" si="11"/>
        <v>6</v>
      </c>
      <c r="D41" s="266">
        <v>6</v>
      </c>
      <c r="E41" s="266">
        <v>7</v>
      </c>
      <c r="F41" s="266">
        <v>8</v>
      </c>
      <c r="G41" s="266">
        <v>6</v>
      </c>
      <c r="H41" s="266">
        <v>6</v>
      </c>
      <c r="I41" s="266">
        <v>5</v>
      </c>
    </row>
    <row r="42" spans="1:16" ht="18" customHeight="1" x14ac:dyDescent="0.2">
      <c r="A42" s="34" t="str">
        <f>OVERALL!A42</f>
        <v>EXPLAINED KEY FEATURES</v>
      </c>
      <c r="B42" s="3">
        <f>IF(C42=0,"-",COUNTIF(D42:I42, "y")/C42)</f>
        <v>0.83333333333333337</v>
      </c>
      <c r="C42" s="27">
        <f t="shared" si="11"/>
        <v>6</v>
      </c>
      <c r="D42" s="335" t="s">
        <v>124</v>
      </c>
      <c r="E42" s="315" t="s">
        <v>124</v>
      </c>
      <c r="F42" s="305" t="s">
        <v>124</v>
      </c>
      <c r="G42" s="315" t="s">
        <v>124</v>
      </c>
      <c r="H42" s="324" t="s">
        <v>124</v>
      </c>
      <c r="I42" s="342" t="s">
        <v>123</v>
      </c>
      <c r="J42" s="47"/>
      <c r="K42" t="s">
        <v>1</v>
      </c>
    </row>
    <row r="43" spans="1:16" ht="18" customHeight="1" x14ac:dyDescent="0.2">
      <c r="A43" s="34" t="str">
        <f>OVERALL!A43</f>
        <v>REVEALED PRICING</v>
      </c>
      <c r="B43" s="3">
        <f>IF(C43=0,"-",COUNTIF(D43:I43, "y")/C43)</f>
        <v>0.33333333333333331</v>
      </c>
      <c r="C43" s="27">
        <f t="shared" si="11"/>
        <v>6</v>
      </c>
      <c r="D43" s="335" t="s">
        <v>123</v>
      </c>
      <c r="E43" s="315" t="s">
        <v>124</v>
      </c>
      <c r="F43" s="305" t="s">
        <v>124</v>
      </c>
      <c r="G43" s="315" t="s">
        <v>123</v>
      </c>
      <c r="H43" s="324" t="s">
        <v>123</v>
      </c>
      <c r="I43" s="342" t="s">
        <v>123</v>
      </c>
    </row>
    <row r="44" spans="1:16" ht="18" customHeight="1" x14ac:dyDescent="0.2">
      <c r="A44" s="34" t="str">
        <f>OVERALL!A44</f>
        <v>EXPLAINED ACTIONS &amp; PROCESS</v>
      </c>
      <c r="B44" s="3">
        <f>IF(C44=0,"-",COUNTIF(D44:I44, "y")/C44)</f>
        <v>1</v>
      </c>
      <c r="C44" s="27">
        <f t="shared" si="11"/>
        <v>6</v>
      </c>
      <c r="D44" s="335" t="s">
        <v>124</v>
      </c>
      <c r="E44" s="315" t="s">
        <v>124</v>
      </c>
      <c r="F44" s="305" t="s">
        <v>124</v>
      </c>
      <c r="G44" s="315" t="s">
        <v>124</v>
      </c>
      <c r="H44" s="324" t="s">
        <v>124</v>
      </c>
      <c r="I44" s="342" t="s">
        <v>124</v>
      </c>
    </row>
    <row r="45" spans="1:16" ht="18" customHeight="1" x14ac:dyDescent="0.2">
      <c r="A45" s="34" t="str">
        <f>OVERALL!A45</f>
        <v>WEBSITE EDUCATION</v>
      </c>
      <c r="B45" s="3">
        <f>IF(C45=0,"-",COUNTIF(D45:I45, "y")/C45)</f>
        <v>0.83333333333333337</v>
      </c>
      <c r="C45" s="27">
        <f t="shared" si="11"/>
        <v>6</v>
      </c>
      <c r="D45" s="335" t="s">
        <v>124</v>
      </c>
      <c r="E45" s="315" t="s">
        <v>124</v>
      </c>
      <c r="F45" s="305" t="s">
        <v>124</v>
      </c>
      <c r="G45" s="315" t="s">
        <v>123</v>
      </c>
      <c r="H45" s="324" t="s">
        <v>124</v>
      </c>
      <c r="I45" s="342" t="s">
        <v>124</v>
      </c>
    </row>
    <row r="46" spans="1:16" ht="18" customHeight="1" x14ac:dyDescent="0.2">
      <c r="A46" s="18"/>
      <c r="B46" s="3"/>
      <c r="C46" s="27"/>
      <c r="D46" s="268"/>
      <c r="E46" s="268"/>
      <c r="F46" s="268"/>
      <c r="G46" s="268"/>
      <c r="H46" s="268"/>
      <c r="I46" s="268"/>
    </row>
    <row r="47" spans="1:16" ht="270" x14ac:dyDescent="0.2">
      <c r="A47" s="26" t="s">
        <v>1</v>
      </c>
      <c r="B47" s="271" t="s">
        <v>35</v>
      </c>
      <c r="C47" s="272"/>
      <c r="D47" s="24" t="s">
        <v>183</v>
      </c>
      <c r="E47" s="24" t="s">
        <v>152</v>
      </c>
      <c r="F47" s="24" t="s">
        <v>139</v>
      </c>
      <c r="G47" s="24" t="s">
        <v>156</v>
      </c>
      <c r="H47" s="24" t="s">
        <v>168</v>
      </c>
      <c r="I47" s="24" t="s">
        <v>193</v>
      </c>
    </row>
    <row r="48" spans="1:16" ht="18" customHeight="1" x14ac:dyDescent="0.2">
      <c r="A48" s="59" t="s">
        <v>47</v>
      </c>
      <c r="D48" s="50">
        <f t="shared" ref="D48:I48" si="12">IF(D$2="","",IF(D$39="n", "", SUM(D$6,D$12,D$17,D$23,D$28,D$34)))</f>
        <v>0.60416666666666663</v>
      </c>
      <c r="E48" s="50">
        <f t="shared" si="12"/>
        <v>0.76666666666666661</v>
      </c>
      <c r="F48" s="50">
        <f t="shared" si="12"/>
        <v>0.90000000000000013</v>
      </c>
      <c r="G48" s="50">
        <f t="shared" si="12"/>
        <v>0.60416666666666674</v>
      </c>
      <c r="H48" s="50">
        <f t="shared" si="12"/>
        <v>0.65416666666666667</v>
      </c>
      <c r="I48" s="50">
        <f t="shared" si="12"/>
        <v>0.59166666666666667</v>
      </c>
    </row>
    <row r="50" spans="1:9" ht="19" x14ac:dyDescent="0.25">
      <c r="A50" s="110" t="s">
        <v>74</v>
      </c>
      <c r="B50" s="90" t="s">
        <v>75</v>
      </c>
    </row>
    <row r="51" spans="1:9" x14ac:dyDescent="0.2">
      <c r="A51" s="111" t="s">
        <v>63</v>
      </c>
      <c r="B51" s="112">
        <v>0.3</v>
      </c>
      <c r="C51" s="111"/>
      <c r="D51" s="256">
        <f>[1]HUME!D$4</f>
        <v>0.89583333333333337</v>
      </c>
      <c r="E51" s="256">
        <f>[1]HUME!E$4</f>
        <v>0.86458333333333337</v>
      </c>
      <c r="F51" s="256">
        <f>[1]HUME!F$4</f>
        <v>0.86458333333333337</v>
      </c>
      <c r="G51" s="256">
        <f>[1]HUME!G$4</f>
        <v>0.92708333333333337</v>
      </c>
      <c r="H51" s="256">
        <f>[1]HUME!H$4</f>
        <v>0.8348214285714286</v>
      </c>
      <c r="I51" s="256">
        <f>[1]HUME!I$4</f>
        <v>0.95833333333333337</v>
      </c>
    </row>
    <row r="52" spans="1:9" x14ac:dyDescent="0.2">
      <c r="A52" s="111" t="s">
        <v>64</v>
      </c>
      <c r="B52" s="112">
        <v>0.7</v>
      </c>
      <c r="C52" s="111"/>
      <c r="D52" s="257">
        <f t="shared" ref="D52:I52" si="13">D4</f>
        <v>0.60416666666666663</v>
      </c>
      <c r="E52" s="257">
        <f t="shared" si="13"/>
        <v>0.76666666666666661</v>
      </c>
      <c r="F52" s="257">
        <f t="shared" si="13"/>
        <v>0.90000000000000013</v>
      </c>
      <c r="G52" s="257">
        <f t="shared" si="13"/>
        <v>0.60416666666666674</v>
      </c>
      <c r="H52" s="257">
        <f t="shared" si="13"/>
        <v>0.65416666666666667</v>
      </c>
      <c r="I52" s="257">
        <f t="shared" si="13"/>
        <v>0.59166666666666667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0.26874999999999999</v>
      </c>
      <c r="E55" s="257">
        <f t="shared" ref="E55:I55" si="14">IF(E51="-","-",E51*$B$51)</f>
        <v>0.25937500000000002</v>
      </c>
      <c r="F55" s="257">
        <f t="shared" si="14"/>
        <v>0.25937500000000002</v>
      </c>
      <c r="G55" s="257">
        <f t="shared" si="14"/>
        <v>0.27812500000000001</v>
      </c>
      <c r="H55" s="257">
        <f t="shared" si="14"/>
        <v>0.25044642857142857</v>
      </c>
      <c r="I55" s="257">
        <f t="shared" si="14"/>
        <v>0.28749999999999998</v>
      </c>
    </row>
    <row r="56" spans="1:9" x14ac:dyDescent="0.2">
      <c r="A56" s="111" t="s">
        <v>64</v>
      </c>
      <c r="B56" s="111"/>
      <c r="C56" s="111"/>
      <c r="D56" s="257">
        <f t="shared" ref="D56:I56" si="15">IF(D52="-","-",D52*$B$52)</f>
        <v>0.42291666666666661</v>
      </c>
      <c r="E56" s="257">
        <f t="shared" si="15"/>
        <v>0.53666666666666663</v>
      </c>
      <c r="F56" s="257">
        <f t="shared" si="15"/>
        <v>0.63</v>
      </c>
      <c r="G56" s="257">
        <f t="shared" si="15"/>
        <v>0.42291666666666672</v>
      </c>
      <c r="H56" s="257">
        <f t="shared" si="15"/>
        <v>0.45791666666666664</v>
      </c>
      <c r="I56" s="257">
        <f t="shared" si="15"/>
        <v>0.41416666666666663</v>
      </c>
    </row>
    <row r="57" spans="1:9" x14ac:dyDescent="0.2">
      <c r="A57" s="114" t="s">
        <v>59</v>
      </c>
      <c r="B57" s="114"/>
      <c r="C57" s="114"/>
      <c r="D57" s="115">
        <f t="shared" ref="D57:I57" si="16">IF(D51="","",IF(D52="","",SUM(D55:D56)))</f>
        <v>0.69166666666666665</v>
      </c>
      <c r="E57" s="115">
        <f t="shared" si="16"/>
        <v>0.79604166666666665</v>
      </c>
      <c r="F57" s="115">
        <f t="shared" si="16"/>
        <v>0.88937500000000003</v>
      </c>
      <c r="G57" s="115">
        <f t="shared" si="16"/>
        <v>0.70104166666666679</v>
      </c>
      <c r="H57" s="115">
        <f t="shared" si="16"/>
        <v>0.70836309523809526</v>
      </c>
      <c r="I57" s="115">
        <f t="shared" si="16"/>
        <v>0.70166666666666666</v>
      </c>
    </row>
  </sheetData>
  <conditionalFormatting sqref="B4">
    <cfRule type="containsBlanks" dxfId="67" priority="6">
      <formula>LEN(TRIM(B4))=0</formula>
    </cfRule>
    <cfRule type="cellIs" dxfId="66" priority="7" operator="greaterThanOrEqual">
      <formula>0.905</formula>
    </cfRule>
    <cfRule type="cellIs" dxfId="65" priority="8" operator="between">
      <formula>0.754999</formula>
      <formula>0.905</formula>
    </cfRule>
    <cfRule type="cellIs" dxfId="64" priority="9" operator="between">
      <formula>0.604999</formula>
      <formula>0.754999</formula>
    </cfRule>
    <cfRule type="cellIs" dxfId="63" priority="10" operator="between">
      <formula>0.44999</formula>
      <formula>0.605</formula>
    </cfRule>
    <cfRule type="cellIs" dxfId="62" priority="11" operator="lessThan">
      <formula>0.45</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BANK_AUSTRALIA</vt:lpstr>
      <vt:lpstr>BENDIGO</vt:lpstr>
      <vt:lpstr>CBA</vt:lpstr>
      <vt:lpstr>GREAT_SOUTHERN</vt:lpstr>
      <vt:lpstr>HUME</vt:lpstr>
      <vt:lpstr>ING</vt:lpstr>
      <vt:lpstr>nab</vt:lpstr>
      <vt:lpstr>Westpac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2026-07-13T01:29:31Z</dcterms:modified>
</cp:coreProperties>
</file>