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AGED CARE/QUALITY/"/>
    </mc:Choice>
  </mc:AlternateContent>
  <xr:revisionPtr revIDLastSave="0" documentId="13_ncr:1_{FD12BB0A-45E1-FC41-85B2-D38026A80324}" xr6:coauthVersionLast="47" xr6:coauthVersionMax="47" xr10:uidLastSave="{00000000-0000-0000-0000-000000000000}"/>
  <bookViews>
    <workbookView xWindow="3420" yWindow="500" windowWidth="23260" windowHeight="13900" tabRatio="840" firstSheet="2" activeTab="2" xr2:uid="{00000000-000D-0000-FFFF-FFFF00000000}"/>
  </bookViews>
  <sheets>
    <sheet name="REPORT" sheetId="20" r:id="rId1"/>
    <sheet name="LOAD_SHEET" sheetId="30" r:id="rId2"/>
    <sheet name="OVERALL" sheetId="9" r:id="rId3"/>
    <sheet name="BENETAS" sheetId="31" r:id="rId4"/>
    <sheet name="BLUE CARE" sheetId="22" r:id="rId5"/>
    <sheet name="BOLTON CLARKE" sheetId="23" r:id="rId6"/>
    <sheet name="HAMMONDCARE" sheetId="26" r:id="rId7"/>
    <sheet name="SILVER CHAIN" sheetId="27" r:id="rId8"/>
    <sheet name="UNITING AGE WELL" sheetId="28" r:id="rId9"/>
    <sheet name="UNITING NSW-ACT"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D51" i="26"/>
  <c r="E51" i="23"/>
  <c r="F51" i="23"/>
  <c r="D51" i="23"/>
  <c r="E51" i="22"/>
  <c r="F51" i="22"/>
  <c r="D51" i="22"/>
  <c r="E51" i="31"/>
  <c r="F51" i="31"/>
  <c r="D51" i="31"/>
  <c r="E69" i="9"/>
  <c r="F69" i="9"/>
  <c r="H69" i="9"/>
  <c r="I69" i="9"/>
  <c r="J69" i="9"/>
  <c r="D69" i="9"/>
  <c r="E51" i="9" l="1"/>
  <c r="F51" i="9"/>
  <c r="H51" i="9"/>
  <c r="I51" i="9"/>
  <c r="J51" i="9"/>
  <c r="D51" i="9"/>
  <c r="F27" i="31"/>
  <c r="J2" i="9" l="1"/>
  <c r="A3" i="11"/>
  <c r="A3" i="28"/>
  <c r="A3" i="27"/>
  <c r="A3" i="26"/>
  <c r="A3" i="23"/>
  <c r="A3" i="22"/>
  <c r="A3" i="31"/>
  <c r="I2" i="9"/>
  <c r="H2" i="9"/>
  <c r="G2" i="9"/>
  <c r="F2" i="9"/>
  <c r="A12" i="20"/>
  <c r="H55" i="9" l="1"/>
  <c r="J47" i="9"/>
  <c r="I47" i="9"/>
  <c r="H47" i="9"/>
  <c r="G47" i="9"/>
  <c r="F47" i="9"/>
  <c r="E2" i="9"/>
  <c r="D2" i="9"/>
  <c r="F55" i="31"/>
  <c r="E55" i="31"/>
  <c r="A38" i="31"/>
  <c r="F37" i="31"/>
  <c r="F34" i="31" s="1"/>
  <c r="E37" i="31"/>
  <c r="E34" i="31" s="1"/>
  <c r="D37" i="31"/>
  <c r="D34" i="31" s="1"/>
  <c r="A34" i="31"/>
  <c r="F33" i="31"/>
  <c r="E33" i="31"/>
  <c r="D33" i="31"/>
  <c r="A28" i="31"/>
  <c r="E27" i="31"/>
  <c r="D27" i="31"/>
  <c r="A23" i="31"/>
  <c r="F22" i="31"/>
  <c r="E22" i="31"/>
  <c r="D22" i="31"/>
  <c r="A17" i="31"/>
  <c r="F16" i="31"/>
  <c r="E16" i="31"/>
  <c r="D16" i="31"/>
  <c r="A12" i="31"/>
  <c r="F11" i="31"/>
  <c r="E11" i="31"/>
  <c r="D11" i="31"/>
  <c r="A6" i="31"/>
  <c r="A4" i="31"/>
  <c r="C2" i="31"/>
  <c r="C43" i="31" s="1"/>
  <c r="B43" i="31" s="1"/>
  <c r="C20" i="31" l="1"/>
  <c r="B20" i="31" s="1"/>
  <c r="C42" i="31"/>
  <c r="B42" i="31" s="1"/>
  <c r="C10" i="31"/>
  <c r="B10" i="31" s="1"/>
  <c r="C13" i="31"/>
  <c r="B13" i="31" s="1"/>
  <c r="C30" i="31"/>
  <c r="B30" i="31" s="1"/>
  <c r="I55" i="9"/>
  <c r="F55" i="9"/>
  <c r="J55" i="9"/>
  <c r="C9" i="31"/>
  <c r="B9" i="31" s="1"/>
  <c r="C19" i="31"/>
  <c r="B19" i="31" s="1"/>
  <c r="C26" i="31"/>
  <c r="B26" i="31" s="1"/>
  <c r="C29" i="31"/>
  <c r="C36" i="31"/>
  <c r="B36" i="31" s="1"/>
  <c r="C41" i="31"/>
  <c r="B41" i="31" s="1"/>
  <c r="C45" i="31"/>
  <c r="B45" i="31" s="1"/>
  <c r="D55" i="31"/>
  <c r="C8" i="31"/>
  <c r="B8" i="31" s="1"/>
  <c r="C15" i="31"/>
  <c r="B15" i="31" s="1"/>
  <c r="C18" i="31"/>
  <c r="C25" i="31"/>
  <c r="B25" i="31" s="1"/>
  <c r="C32" i="31"/>
  <c r="B32" i="31" s="1"/>
  <c r="C35" i="31"/>
  <c r="C40" i="31"/>
  <c r="B40" i="31" s="1"/>
  <c r="C44" i="31"/>
  <c r="B44" i="31" s="1"/>
  <c r="C7" i="31"/>
  <c r="C14" i="31"/>
  <c r="B14" i="31" s="1"/>
  <c r="C21" i="31"/>
  <c r="B21" i="31" s="1"/>
  <c r="C24" i="31"/>
  <c r="C31" i="31"/>
  <c r="B31" i="31" s="1"/>
  <c r="C39" i="31"/>
  <c r="B39" i="31" s="1"/>
  <c r="D39" i="9" s="1"/>
  <c r="K47" i="9"/>
  <c r="E55" i="11"/>
  <c r="F55" i="11"/>
  <c r="D55" i="11"/>
  <c r="E55" i="28"/>
  <c r="F55" i="28"/>
  <c r="D55" i="28"/>
  <c r="E55" i="27"/>
  <c r="F55" i="27"/>
  <c r="D55" i="27"/>
  <c r="E55" i="26"/>
  <c r="D55" i="26"/>
  <c r="E55" i="23"/>
  <c r="F55" i="23"/>
  <c r="D55" i="23"/>
  <c r="E55" i="22"/>
  <c r="F55" i="22"/>
  <c r="D55" i="22"/>
  <c r="D20" i="9" l="1"/>
  <c r="D45" i="9"/>
  <c r="D10" i="9"/>
  <c r="D21" i="9"/>
  <c r="D15" i="9"/>
  <c r="D13" i="9"/>
  <c r="D40" i="9"/>
  <c r="D44" i="9"/>
  <c r="D32" i="9"/>
  <c r="D19" i="9"/>
  <c r="D41" i="9"/>
  <c r="D9" i="9"/>
  <c r="D43" i="9"/>
  <c r="D14" i="9"/>
  <c r="D8" i="9"/>
  <c r="D30" i="9"/>
  <c r="D42" i="9"/>
  <c r="D36" i="9"/>
  <c r="AD6" i="20" s="1"/>
  <c r="D25" i="9"/>
  <c r="D31" i="9"/>
  <c r="D26" i="9"/>
  <c r="B7" i="31"/>
  <c r="D7" i="9" s="1"/>
  <c r="C11" i="31"/>
  <c r="B18" i="31"/>
  <c r="D18" i="9" s="1"/>
  <c r="C22" i="31"/>
  <c r="C27" i="31"/>
  <c r="B24" i="31"/>
  <c r="D24" i="9" s="1"/>
  <c r="C33" i="31"/>
  <c r="B29" i="31"/>
  <c r="D29" i="9" s="1"/>
  <c r="C37" i="31"/>
  <c r="B34" i="31" s="1"/>
  <c r="D34" i="9" s="1"/>
  <c r="B35" i="31"/>
  <c r="D35" i="9" s="1"/>
  <c r="AC6" i="20" s="1"/>
  <c r="C16" i="31"/>
  <c r="B12" i="31" s="1"/>
  <c r="D12" i="9" s="1"/>
  <c r="A32" i="30"/>
  <c r="A33" i="30"/>
  <c r="A34" i="30"/>
  <c r="A35" i="30"/>
  <c r="A36" i="30"/>
  <c r="A37" i="30"/>
  <c r="A38" i="30"/>
  <c r="A39" i="30"/>
  <c r="A40" i="30"/>
  <c r="A41" i="30"/>
  <c r="A42" i="30"/>
  <c r="A43" i="30"/>
  <c r="A44" i="30"/>
  <c r="A45" i="30"/>
  <c r="A46" i="30"/>
  <c r="A47" i="30"/>
  <c r="A48" i="30"/>
  <c r="A49" i="30"/>
  <c r="A50" i="30"/>
  <c r="B17" i="31" l="1"/>
  <c r="D17" i="9" s="1"/>
  <c r="B23" i="31"/>
  <c r="D23" i="9" s="1"/>
  <c r="B28" i="31"/>
  <c r="D28" i="9" s="1"/>
  <c r="B6" i="31"/>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9" i="30"/>
  <c r="A11" i="20"/>
  <c r="A8" i="30" s="1"/>
  <c r="A10" i="20"/>
  <c r="A7" i="30" s="1"/>
  <c r="A9" i="20"/>
  <c r="A6" i="30" s="1"/>
  <c r="A8" i="20"/>
  <c r="A5" i="30" s="1"/>
  <c r="A7" i="20"/>
  <c r="A4" i="30" s="1"/>
  <c r="A6" i="20"/>
  <c r="A3" i="30" s="1"/>
  <c r="A5" i="20"/>
  <c r="D6" i="9" l="1"/>
  <c r="E15" i="30"/>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E47" i="9" l="1"/>
  <c r="D47" i="9"/>
  <c r="D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E11" i="11"/>
  <c r="F11" i="11"/>
  <c r="E16" i="11"/>
  <c r="F16" i="11"/>
  <c r="E22" i="11"/>
  <c r="F22" i="11"/>
  <c r="E27" i="11"/>
  <c r="F27" i="11"/>
  <c r="E33" i="11"/>
  <c r="F33" i="11"/>
  <c r="E37" i="11"/>
  <c r="E34" i="11" s="1"/>
  <c r="F37" i="11"/>
  <c r="F34" i="11" s="1"/>
  <c r="A36" i="9"/>
  <c r="A36" i="31" s="1"/>
  <c r="A35" i="9"/>
  <c r="A35" i="31" s="1"/>
  <c r="D33" i="11"/>
  <c r="D27" i="11"/>
  <c r="D22" i="11"/>
  <c r="D16" i="11"/>
  <c r="D11" i="11"/>
  <c r="C2" i="11"/>
  <c r="A45" i="9"/>
  <c r="A44" i="9"/>
  <c r="A43" i="9"/>
  <c r="A42" i="9"/>
  <c r="A41" i="9"/>
  <c r="A40" i="9"/>
  <c r="A39" i="9"/>
  <c r="A43" i="28" l="1"/>
  <c r="A43" i="31"/>
  <c r="A40" i="26"/>
  <c r="A40" i="31"/>
  <c r="A39" i="28"/>
  <c r="A39" i="31"/>
  <c r="A45" i="28"/>
  <c r="A45" i="31"/>
  <c r="A44" i="28"/>
  <c r="A44" i="31"/>
  <c r="A41" i="26"/>
  <c r="A41" i="31"/>
  <c r="A42" i="28"/>
  <c r="A42" i="31"/>
  <c r="C45" i="11"/>
  <c r="C45" i="28"/>
  <c r="B45" i="28" s="1"/>
  <c r="C45" i="27"/>
  <c r="B45" i="27" s="1"/>
  <c r="C45" i="26"/>
  <c r="B45" i="26" s="1"/>
  <c r="C45" i="22"/>
  <c r="B45" i="22" s="1"/>
  <c r="C45" i="23"/>
  <c r="B45" i="23" s="1"/>
  <c r="C2" i="9"/>
  <c r="A35" i="22"/>
  <c r="A42" i="23"/>
  <c r="A35" i="26"/>
  <c r="A35" i="23"/>
  <c r="A36" i="23"/>
  <c r="A36" i="26"/>
  <c r="A44" i="27"/>
  <c r="A36" i="22"/>
  <c r="A39" i="23"/>
  <c r="A41" i="23"/>
  <c r="A42" i="26"/>
  <c r="A39" i="26"/>
  <c r="A42" i="22"/>
  <c r="A43" i="22"/>
  <c r="A36" i="27"/>
  <c r="A43" i="23"/>
  <c r="A43" i="26"/>
  <c r="A35" i="28"/>
  <c r="A44" i="23"/>
  <c r="A44" i="26"/>
  <c r="A36" i="28"/>
  <c r="A45" i="23"/>
  <c r="A45" i="26"/>
  <c r="A39" i="27"/>
  <c r="A40" i="27"/>
  <c r="A39" i="22"/>
  <c r="A41" i="27"/>
  <c r="A40" i="22"/>
  <c r="A42" i="27"/>
  <c r="A41" i="22"/>
  <c r="A43" i="27"/>
  <c r="A44" i="22"/>
  <c r="A45" i="22"/>
  <c r="A40" i="28"/>
  <c r="A41" i="28"/>
  <c r="A45" i="27"/>
  <c r="A35" i="27"/>
  <c r="A40" i="23"/>
  <c r="E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4" i="9" l="1"/>
  <c r="I59" i="9"/>
  <c r="I45" i="9"/>
  <c r="I10" i="9"/>
  <c r="I30" i="9"/>
  <c r="I41" i="9"/>
  <c r="I15" i="9"/>
  <c r="I32" i="9"/>
  <c r="I25" i="9"/>
  <c r="I31" i="9"/>
  <c r="I9" i="9"/>
  <c r="I40" i="9"/>
  <c r="I70" i="9" s="1"/>
  <c r="I71" i="9" s="1"/>
  <c r="AM11" i="20" s="1"/>
  <c r="I42" i="9"/>
  <c r="I21" i="9"/>
  <c r="I14" i="9"/>
  <c r="I8" i="9"/>
  <c r="I20" i="9"/>
  <c r="I36" i="9"/>
  <c r="AD11" i="20" s="1"/>
  <c r="I19" i="9"/>
  <c r="I26" i="9"/>
  <c r="I43" i="9"/>
  <c r="H45" i="9"/>
  <c r="AL10" i="20" s="1"/>
  <c r="AJ7" i="30" s="1"/>
  <c r="H8" i="9"/>
  <c r="F10" i="20" s="1"/>
  <c r="F7" i="30" s="1"/>
  <c r="H59" i="9"/>
  <c r="H40" i="9"/>
  <c r="H70" i="9" s="1"/>
  <c r="H71" i="9" s="1"/>
  <c r="AM10" i="20" s="1"/>
  <c r="H15" i="9"/>
  <c r="L10" i="20" s="1"/>
  <c r="L7" i="30" s="1"/>
  <c r="H21" i="9"/>
  <c r="Q10" i="20" s="1"/>
  <c r="Q7" i="30" s="1"/>
  <c r="H44" i="9"/>
  <c r="AK10" i="20" s="1"/>
  <c r="AI7" i="30" s="1"/>
  <c r="H20" i="9"/>
  <c r="P10" i="20" s="1"/>
  <c r="P7" i="30" s="1"/>
  <c r="H25" i="9"/>
  <c r="T10" i="20" s="1"/>
  <c r="T7" i="30" s="1"/>
  <c r="H32" i="9"/>
  <c r="Z10" i="20" s="1"/>
  <c r="Z7" i="30" s="1"/>
  <c r="H9" i="9"/>
  <c r="G10" i="20" s="1"/>
  <c r="G7" i="30" s="1"/>
  <c r="H14" i="9"/>
  <c r="K10" i="20" s="1"/>
  <c r="K7" i="30" s="1"/>
  <c r="H31" i="9"/>
  <c r="Y10" i="20" s="1"/>
  <c r="Y7" i="30" s="1"/>
  <c r="H30" i="9"/>
  <c r="X10" i="20" s="1"/>
  <c r="X7" i="30" s="1"/>
  <c r="H41" i="9"/>
  <c r="AH10" i="20" s="1"/>
  <c r="AF7" i="30" s="1"/>
  <c r="H26" i="9"/>
  <c r="U10" i="20" s="1"/>
  <c r="U7" i="30" s="1"/>
  <c r="H36" i="9"/>
  <c r="AD10" i="20" s="1"/>
  <c r="H10" i="9"/>
  <c r="H10" i="20" s="1"/>
  <c r="H7" i="30" s="1"/>
  <c r="H42" i="9"/>
  <c r="AI10" i="20" s="1"/>
  <c r="AG7" i="30" s="1"/>
  <c r="H43" i="9"/>
  <c r="AJ10" i="20" s="1"/>
  <c r="AH7" i="30" s="1"/>
  <c r="H19" i="9"/>
  <c r="O10" i="20" s="1"/>
  <c r="O7" i="30" s="1"/>
  <c r="G45" i="9"/>
  <c r="AL9" i="20" s="1"/>
  <c r="AJ6" i="30" s="1"/>
  <c r="G36" i="9"/>
  <c r="AD9" i="20" s="1"/>
  <c r="G42" i="9"/>
  <c r="AI9" i="20" s="1"/>
  <c r="AG6" i="30" s="1"/>
  <c r="G14" i="9"/>
  <c r="K9" i="20" s="1"/>
  <c r="K6" i="30" s="1"/>
  <c r="G15" i="9"/>
  <c r="L9" i="20" s="1"/>
  <c r="L6" i="30" s="1"/>
  <c r="G19" i="9"/>
  <c r="O9" i="20" s="1"/>
  <c r="O6" i="30" s="1"/>
  <c r="G20" i="9"/>
  <c r="P9" i="20" s="1"/>
  <c r="P6" i="30" s="1"/>
  <c r="G41" i="9"/>
  <c r="AH9" i="20" s="1"/>
  <c r="AF6" i="30" s="1"/>
  <c r="G21" i="9"/>
  <c r="Q9" i="20" s="1"/>
  <c r="Q6" i="30" s="1"/>
  <c r="G25" i="9"/>
  <c r="T9" i="20" s="1"/>
  <c r="T6" i="30" s="1"/>
  <c r="G30" i="9"/>
  <c r="X9" i="20" s="1"/>
  <c r="X6" i="30" s="1"/>
  <c r="G40" i="9"/>
  <c r="G70" i="9" s="1"/>
  <c r="G44" i="9"/>
  <c r="AK9" i="20" s="1"/>
  <c r="AI6" i="30" s="1"/>
  <c r="G26" i="9"/>
  <c r="U9" i="20" s="1"/>
  <c r="U6" i="30" s="1"/>
  <c r="G8" i="9"/>
  <c r="F9" i="20" s="1"/>
  <c r="F6" i="30" s="1"/>
  <c r="G10" i="9"/>
  <c r="H9" i="20" s="1"/>
  <c r="H6" i="30" s="1"/>
  <c r="G31" i="9"/>
  <c r="Y9" i="20" s="1"/>
  <c r="Y6" i="30" s="1"/>
  <c r="G9" i="9"/>
  <c r="G9" i="20" s="1"/>
  <c r="G6" i="30" s="1"/>
  <c r="G32" i="9"/>
  <c r="Z9" i="20" s="1"/>
  <c r="Z6" i="30" s="1"/>
  <c r="G43" i="9"/>
  <c r="AJ9" i="20" s="1"/>
  <c r="AH6" i="30" s="1"/>
  <c r="G59" i="9"/>
  <c r="E45" i="9"/>
  <c r="AL7" i="20" s="1"/>
  <c r="AJ4" i="30" s="1"/>
  <c r="E9" i="9"/>
  <c r="G7" i="20" s="1"/>
  <c r="G4" i="30" s="1"/>
  <c r="E10" i="9"/>
  <c r="H7" i="20" s="1"/>
  <c r="H4" i="30" s="1"/>
  <c r="E14" i="9"/>
  <c r="K7" i="20" s="1"/>
  <c r="K4" i="30" s="1"/>
  <c r="E15" i="9"/>
  <c r="L7" i="20" s="1"/>
  <c r="L4" i="30" s="1"/>
  <c r="E21" i="9"/>
  <c r="Q7" i="20" s="1"/>
  <c r="Q4" i="30" s="1"/>
  <c r="E19" i="9"/>
  <c r="O7" i="20" s="1"/>
  <c r="O4" i="30" s="1"/>
  <c r="E20" i="9"/>
  <c r="P7" i="20" s="1"/>
  <c r="P4" i="30" s="1"/>
  <c r="E31" i="9"/>
  <c r="Y7" i="20" s="1"/>
  <c r="Y4" i="30" s="1"/>
  <c r="E25" i="9"/>
  <c r="T7" i="20" s="1"/>
  <c r="T4" i="30" s="1"/>
  <c r="E42" i="9"/>
  <c r="AI7" i="20" s="1"/>
  <c r="AG4" i="30" s="1"/>
  <c r="E30" i="9"/>
  <c r="X7" i="20" s="1"/>
  <c r="X4" i="30" s="1"/>
  <c r="E40" i="9"/>
  <c r="E44" i="9"/>
  <c r="AK7" i="20" s="1"/>
  <c r="AI4" i="30" s="1"/>
  <c r="E41" i="9"/>
  <c r="AH7" i="20" s="1"/>
  <c r="AF4" i="30" s="1"/>
  <c r="E26" i="9"/>
  <c r="U7" i="20" s="1"/>
  <c r="U4" i="30" s="1"/>
  <c r="E32" i="9"/>
  <c r="Z7" i="20" s="1"/>
  <c r="Z4" i="30" s="1"/>
  <c r="E36" i="9"/>
  <c r="AD7" i="20" s="1"/>
  <c r="AC4" i="30" s="1"/>
  <c r="E43" i="9"/>
  <c r="AJ7" i="20" s="1"/>
  <c r="AH4" i="30" s="1"/>
  <c r="E8" i="9"/>
  <c r="F7" i="20" s="1"/>
  <c r="F4" i="30" s="1"/>
  <c r="F44" i="9"/>
  <c r="AK8" i="20" s="1"/>
  <c r="AI5" i="30" s="1"/>
  <c r="F10" i="9"/>
  <c r="H8" i="20" s="1"/>
  <c r="H5" i="30" s="1"/>
  <c r="F45" i="9"/>
  <c r="AL8" i="20" s="1"/>
  <c r="AJ5" i="30" s="1"/>
  <c r="F59" i="9"/>
  <c r="F20" i="9"/>
  <c r="P8" i="20" s="1"/>
  <c r="P5" i="30" s="1"/>
  <c r="F43" i="9"/>
  <c r="AJ8" i="20" s="1"/>
  <c r="AH5" i="30" s="1"/>
  <c r="F21" i="9"/>
  <c r="Q8" i="20" s="1"/>
  <c r="Q5" i="30" s="1"/>
  <c r="F41" i="9"/>
  <c r="AH8" i="20" s="1"/>
  <c r="AF5" i="30" s="1"/>
  <c r="F15" i="9"/>
  <c r="L8" i="20" s="1"/>
  <c r="L5" i="30" s="1"/>
  <c r="F31" i="9"/>
  <c r="Y8" i="20" s="1"/>
  <c r="Y5" i="30" s="1"/>
  <c r="F9" i="9"/>
  <c r="G8" i="20" s="1"/>
  <c r="G5" i="30" s="1"/>
  <c r="F36" i="9"/>
  <c r="AD8" i="20" s="1"/>
  <c r="F8" i="9"/>
  <c r="F8" i="20" s="1"/>
  <c r="F5" i="30" s="1"/>
  <c r="F40" i="9"/>
  <c r="F70" i="9" s="1"/>
  <c r="F71" i="9" s="1"/>
  <c r="AM8" i="20" s="1"/>
  <c r="F32" i="9"/>
  <c r="Z8" i="20" s="1"/>
  <c r="Z5" i="30" s="1"/>
  <c r="F42" i="9"/>
  <c r="AI8" i="20" s="1"/>
  <c r="AG5" i="30" s="1"/>
  <c r="F30" i="9"/>
  <c r="X8" i="20" s="1"/>
  <c r="X5" i="30" s="1"/>
  <c r="F25" i="9"/>
  <c r="T8" i="20" s="1"/>
  <c r="T5" i="30" s="1"/>
  <c r="F26" i="9"/>
  <c r="U8" i="20" s="1"/>
  <c r="U5" i="30" s="1"/>
  <c r="F14" i="9"/>
  <c r="K8" i="20" s="1"/>
  <c r="K5" i="30" s="1"/>
  <c r="F19" i="9"/>
  <c r="O8" i="20" s="1"/>
  <c r="O5" i="30" s="1"/>
  <c r="AF10" i="20"/>
  <c r="AD7" i="30" s="1"/>
  <c r="AF9" i="20"/>
  <c r="AD6" i="30" s="1"/>
  <c r="AF8" i="20"/>
  <c r="AD5" i="30" s="1"/>
  <c r="AF7" i="20"/>
  <c r="AD4" i="30" s="1"/>
  <c r="AF6" i="20"/>
  <c r="AD3" i="30" s="1"/>
  <c r="E59" i="9"/>
  <c r="E63" i="9" s="1"/>
  <c r="Z6" i="20"/>
  <c r="Z3" i="30" s="1"/>
  <c r="F6" i="20"/>
  <c r="F3" i="30" s="1"/>
  <c r="U6" i="20"/>
  <c r="U3" i="30" s="1"/>
  <c r="AJ6" i="20"/>
  <c r="AH3" i="30" s="1"/>
  <c r="AK6" i="20"/>
  <c r="AI3" i="30" s="1"/>
  <c r="P6" i="20"/>
  <c r="P3" i="30" s="1"/>
  <c r="AH6" i="20"/>
  <c r="AF3" i="30" s="1"/>
  <c r="AL6" i="20"/>
  <c r="AJ3" i="30" s="1"/>
  <c r="Y6" i="20"/>
  <c r="Y3" i="30" s="1"/>
  <c r="G6" i="20"/>
  <c r="G3" i="30" s="1"/>
  <c r="T6" i="20"/>
  <c r="T3" i="30" s="1"/>
  <c r="D59" i="9"/>
  <c r="D66" i="9" s="1"/>
  <c r="AI6" i="20"/>
  <c r="AG3" i="30" s="1"/>
  <c r="K6" i="20"/>
  <c r="K3" i="30" s="1"/>
  <c r="H6" i="20"/>
  <c r="H3" i="30" s="1"/>
  <c r="X6" i="20"/>
  <c r="X3" i="30" s="1"/>
  <c r="Q6" i="20"/>
  <c r="Q3" i="30" s="1"/>
  <c r="O6" i="20"/>
  <c r="O3" i="30" s="1"/>
  <c r="L6" i="20"/>
  <c r="L3" i="30" s="1"/>
  <c r="C37" i="28"/>
  <c r="B34" i="28" s="1"/>
  <c r="I34" i="9" s="1"/>
  <c r="B35" i="28"/>
  <c r="I35" i="9" s="1"/>
  <c r="AC11" i="20" s="1"/>
  <c r="C27" i="28"/>
  <c r="B24" i="28"/>
  <c r="I24" i="9" s="1"/>
  <c r="C22" i="28"/>
  <c r="B18" i="28"/>
  <c r="I18" i="9" s="1"/>
  <c r="B13" i="28"/>
  <c r="I13" i="9" s="1"/>
  <c r="C16" i="28"/>
  <c r="C11" i="28"/>
  <c r="B7" i="28"/>
  <c r="I7" i="9" s="1"/>
  <c r="B29" i="28"/>
  <c r="I29" i="9" s="1"/>
  <c r="C33" i="28"/>
  <c r="C22" i="27"/>
  <c r="B18" i="27"/>
  <c r="H18" i="9" s="1"/>
  <c r="C27" i="27"/>
  <c r="B24" i="27"/>
  <c r="H24" i="9" s="1"/>
  <c r="B7" i="27"/>
  <c r="H7" i="9" s="1"/>
  <c r="C11" i="27"/>
  <c r="C16" i="27"/>
  <c r="B13" i="27"/>
  <c r="H13" i="9" s="1"/>
  <c r="C37" i="27"/>
  <c r="B34" i="27" s="1"/>
  <c r="H34" i="9" s="1"/>
  <c r="B35" i="27"/>
  <c r="H35" i="9" s="1"/>
  <c r="AC10" i="20" s="1"/>
  <c r="B29" i="27"/>
  <c r="H29" i="9" s="1"/>
  <c r="C33" i="27"/>
  <c r="C37" i="26"/>
  <c r="B34" i="26" s="1"/>
  <c r="G34" i="9" s="1"/>
  <c r="B35" i="26"/>
  <c r="G35" i="9" s="1"/>
  <c r="AC9" i="20" s="1"/>
  <c r="C27" i="26"/>
  <c r="B24" i="26"/>
  <c r="G24" i="9" s="1"/>
  <c r="C22" i="26"/>
  <c r="B18" i="26"/>
  <c r="G18" i="9" s="1"/>
  <c r="B29" i="26"/>
  <c r="G29" i="9" s="1"/>
  <c r="C33" i="26"/>
  <c r="C16" i="26"/>
  <c r="B13" i="26"/>
  <c r="G13" i="9" s="1"/>
  <c r="C11" i="26"/>
  <c r="B7" i="26"/>
  <c r="G7" i="9" s="1"/>
  <c r="B13" i="23"/>
  <c r="C16" i="23"/>
  <c r="C11" i="23"/>
  <c r="B7" i="23"/>
  <c r="C37" i="23"/>
  <c r="B34" i="23" s="1"/>
  <c r="B35" i="23"/>
  <c r="F35" i="9" s="1"/>
  <c r="AC8" i="20" s="1"/>
  <c r="B29" i="23"/>
  <c r="C33" i="23"/>
  <c r="C27" i="23"/>
  <c r="B24" i="23"/>
  <c r="C22" i="23"/>
  <c r="B18" i="23"/>
  <c r="C37" i="22"/>
  <c r="B34" i="22" s="1"/>
  <c r="B35" i="22"/>
  <c r="C27" i="22"/>
  <c r="B24" i="22"/>
  <c r="S6" i="20" s="1"/>
  <c r="S3" i="30" s="1"/>
  <c r="C16" i="22"/>
  <c r="B13" i="22"/>
  <c r="J6" i="20" s="1"/>
  <c r="J3" i="30" s="1"/>
  <c r="B29" i="22"/>
  <c r="W6" i="20" s="1"/>
  <c r="W3" i="30" s="1"/>
  <c r="C33" i="22"/>
  <c r="B7" i="22"/>
  <c r="E6" i="20" s="1"/>
  <c r="E3" i="30" s="1"/>
  <c r="C11" i="22"/>
  <c r="C22" i="22"/>
  <c r="B18" i="22"/>
  <c r="N6" i="20" s="1"/>
  <c r="N3" i="30" s="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E7" i="9" l="1"/>
  <c r="E7" i="20" s="1"/>
  <c r="E4" i="30" s="1"/>
  <c r="E18" i="9"/>
  <c r="N7" i="20" s="1"/>
  <c r="N4" i="30" s="1"/>
  <c r="E24" i="9"/>
  <c r="S7" i="20" s="1"/>
  <c r="S4" i="30" s="1"/>
  <c r="J39" i="9"/>
  <c r="I63" i="9"/>
  <c r="I64" i="9"/>
  <c r="I66" i="9"/>
  <c r="I65" i="9"/>
  <c r="N10" i="20"/>
  <c r="N7" i="30" s="1"/>
  <c r="S10" i="20"/>
  <c r="S7" i="30" s="1"/>
  <c r="E10" i="20"/>
  <c r="E7" i="30" s="1"/>
  <c r="H65" i="9"/>
  <c r="H64" i="9"/>
  <c r="H63" i="9"/>
  <c r="H66" i="9"/>
  <c r="W10" i="20"/>
  <c r="W7" i="30" s="1"/>
  <c r="J10" i="20"/>
  <c r="J7" i="30" s="1"/>
  <c r="AB10" i="20"/>
  <c r="AA7" i="30" s="1"/>
  <c r="N9" i="20"/>
  <c r="N6" i="30" s="1"/>
  <c r="S9" i="20"/>
  <c r="S6" i="30" s="1"/>
  <c r="G66" i="9"/>
  <c r="G63" i="9"/>
  <c r="G64" i="9"/>
  <c r="G65" i="9"/>
  <c r="W9" i="20"/>
  <c r="W6" i="30" s="1"/>
  <c r="J9" i="20"/>
  <c r="J6" i="30" s="1"/>
  <c r="E9" i="20"/>
  <c r="E6" i="30" s="1"/>
  <c r="AB9" i="20"/>
  <c r="AA6" i="30" s="1"/>
  <c r="E13" i="9"/>
  <c r="J7" i="20" s="1"/>
  <c r="J4" i="30" s="1"/>
  <c r="E35" i="9"/>
  <c r="AC7" i="20" s="1"/>
  <c r="AB4" i="30" s="1"/>
  <c r="E29" i="9"/>
  <c r="W7" i="20" s="1"/>
  <c r="W4" i="30" s="1"/>
  <c r="AB6" i="20"/>
  <c r="AA3" i="30" s="1"/>
  <c r="E34" i="9"/>
  <c r="AB7" i="20" s="1"/>
  <c r="AA4" i="30" s="1"/>
  <c r="F34" i="9"/>
  <c r="AB8" i="20" s="1"/>
  <c r="AA5" i="30" s="1"/>
  <c r="F18" i="9"/>
  <c r="N8" i="20" s="1"/>
  <c r="N5" i="30" s="1"/>
  <c r="F64" i="9"/>
  <c r="F66" i="9"/>
  <c r="F63" i="9"/>
  <c r="F65" i="9"/>
  <c r="F29" i="9"/>
  <c r="W8" i="20" s="1"/>
  <c r="W5" i="30" s="1"/>
  <c r="F24" i="9"/>
  <c r="S8" i="20" s="1"/>
  <c r="S5" i="30" s="1"/>
  <c r="F7" i="9"/>
  <c r="E8" i="20" s="1"/>
  <c r="E5" i="30" s="1"/>
  <c r="F13" i="9"/>
  <c r="J8" i="20" s="1"/>
  <c r="J5" i="30" s="1"/>
  <c r="W11" i="30"/>
  <c r="AA11" i="30"/>
  <c r="F11" i="30"/>
  <c r="K11" i="30"/>
  <c r="P11" i="30"/>
  <c r="AG11" i="30"/>
  <c r="AJ11" i="30"/>
  <c r="E11" i="30"/>
  <c r="H11" i="30"/>
  <c r="Z11" i="30"/>
  <c r="U11" i="30"/>
  <c r="AI11" i="30"/>
  <c r="AD11" i="30"/>
  <c r="N11" i="30"/>
  <c r="X11" i="30"/>
  <c r="L11" i="30"/>
  <c r="T11" i="30"/>
  <c r="AF11" i="30"/>
  <c r="AD10" i="30"/>
  <c r="J11" i="30"/>
  <c r="S11" i="30"/>
  <c r="G11" i="30"/>
  <c r="Q11" i="30"/>
  <c r="O11" i="30"/>
  <c r="Y11" i="30"/>
  <c r="AH11" i="30"/>
  <c r="AA10" i="30"/>
  <c r="AH10" i="30"/>
  <c r="G10" i="30"/>
  <c r="U10" i="30"/>
  <c r="AI10" i="30"/>
  <c r="E10" i="30"/>
  <c r="H10" i="30"/>
  <c r="Y10" i="30"/>
  <c r="N10" i="30"/>
  <c r="X10" i="30"/>
  <c r="Q10" i="30"/>
  <c r="S10" i="30"/>
  <c r="F10" i="30"/>
  <c r="P10" i="30"/>
  <c r="J10" i="30"/>
  <c r="K10" i="30"/>
  <c r="Z10" i="30"/>
  <c r="AF10" i="30"/>
  <c r="T10" i="30"/>
  <c r="W10" i="30"/>
  <c r="AG10" i="30"/>
  <c r="AJ10" i="30"/>
  <c r="L10" i="30"/>
  <c r="O10" i="30"/>
  <c r="AG10" i="20"/>
  <c r="AE7" i="30" s="1"/>
  <c r="AG9" i="20"/>
  <c r="AE6" i="30" s="1"/>
  <c r="AG8" i="20"/>
  <c r="AE5" i="30" s="1"/>
  <c r="AB10" i="30"/>
  <c r="AB8" i="30"/>
  <c r="AC10" i="30"/>
  <c r="AC8" i="30"/>
  <c r="E70" i="9"/>
  <c r="AG7" i="20"/>
  <c r="AE4" i="30" s="1"/>
  <c r="D70" i="9"/>
  <c r="AG6" i="20"/>
  <c r="AE3" i="30" s="1"/>
  <c r="AF11" i="20"/>
  <c r="AD8" i="30" s="1"/>
  <c r="B12" i="28"/>
  <c r="I12" i="9" s="1"/>
  <c r="D63" i="9"/>
  <c r="D65" i="9"/>
  <c r="B6" i="26"/>
  <c r="G6" i="9" s="1"/>
  <c r="D64" i="9"/>
  <c r="B28" i="23"/>
  <c r="B12" i="22"/>
  <c r="B28" i="27"/>
  <c r="H28" i="9" s="1"/>
  <c r="B17" i="22"/>
  <c r="E64" i="9"/>
  <c r="E65" i="9"/>
  <c r="B17" i="27"/>
  <c r="H17" i="9" s="1"/>
  <c r="B23" i="23"/>
  <c r="B28" i="28"/>
  <c r="I28" i="9" s="1"/>
  <c r="B23" i="28"/>
  <c r="I23" i="9" s="1"/>
  <c r="B17" i="28"/>
  <c r="I17" i="9" s="1"/>
  <c r="B6" i="28"/>
  <c r="I6" i="9" s="1"/>
  <c r="B23" i="27"/>
  <c r="B12" i="27"/>
  <c r="H12" i="9" s="1"/>
  <c r="B6" i="27"/>
  <c r="H6" i="9" s="1"/>
  <c r="B28" i="26"/>
  <c r="G28" i="9" s="1"/>
  <c r="B23" i="26"/>
  <c r="G23" i="9" s="1"/>
  <c r="B17" i="26"/>
  <c r="G17" i="9" s="1"/>
  <c r="B12" i="26"/>
  <c r="G12" i="9" s="1"/>
  <c r="E66" i="9"/>
  <c r="B17" i="23"/>
  <c r="B12" i="23"/>
  <c r="B6" i="23"/>
  <c r="F6" i="9" s="1"/>
  <c r="B28" i="22"/>
  <c r="B23" i="22"/>
  <c r="B6" i="22"/>
  <c r="E6" i="9" s="1"/>
  <c r="F11" i="20"/>
  <c r="F8" i="30" s="1"/>
  <c r="Y11" i="20"/>
  <c r="Y8" i="30" s="1"/>
  <c r="G11" i="20"/>
  <c r="G8" i="30" s="1"/>
  <c r="W11" i="20"/>
  <c r="W8" i="30" s="1"/>
  <c r="T11" i="20"/>
  <c r="T8" i="30" s="1"/>
  <c r="Q11" i="20"/>
  <c r="Q8" i="30" s="1"/>
  <c r="E11" i="20"/>
  <c r="E8" i="30" s="1"/>
  <c r="AJ11" i="20"/>
  <c r="AH8" i="30" s="1"/>
  <c r="AK11" i="20"/>
  <c r="AI8" i="30" s="1"/>
  <c r="Z11" i="20"/>
  <c r="Z8" i="30" s="1"/>
  <c r="N11" i="20"/>
  <c r="N8" i="30" s="1"/>
  <c r="K11" i="20"/>
  <c r="K8" i="30" s="1"/>
  <c r="H11" i="20"/>
  <c r="H8" i="30" s="1"/>
  <c r="X11" i="20"/>
  <c r="X8" i="30" s="1"/>
  <c r="P11" i="20"/>
  <c r="P8" i="30" s="1"/>
  <c r="J11" i="20"/>
  <c r="J8" i="30" s="1"/>
  <c r="AI11" i="20"/>
  <c r="AG8" i="30" s="1"/>
  <c r="O11" i="20"/>
  <c r="O8" i="30" s="1"/>
  <c r="L11" i="20"/>
  <c r="L8" i="30" s="1"/>
  <c r="AL11" i="20"/>
  <c r="AJ8" i="30" s="1"/>
  <c r="U11" i="20"/>
  <c r="U8" i="30" s="1"/>
  <c r="S11" i="20"/>
  <c r="S8" i="30" s="1"/>
  <c r="AH11" i="20"/>
  <c r="AF8" i="30" s="1"/>
  <c r="D37" i="11"/>
  <c r="D34" i="11" s="1"/>
  <c r="J45" i="9" l="1"/>
  <c r="AL12" i="20" s="1"/>
  <c r="AJ9" i="30" s="1"/>
  <c r="J20" i="9"/>
  <c r="P12" i="20" s="1"/>
  <c r="P9" i="30" s="1"/>
  <c r="J18" i="9"/>
  <c r="N12" i="20" s="1"/>
  <c r="N9" i="30" s="1"/>
  <c r="J9" i="9"/>
  <c r="G12" i="20" s="1"/>
  <c r="G9" i="30" s="1"/>
  <c r="J25" i="9"/>
  <c r="T12" i="20" s="1"/>
  <c r="T9" i="30" s="1"/>
  <c r="J14" i="9"/>
  <c r="K12" i="20" s="1"/>
  <c r="K9" i="30" s="1"/>
  <c r="J30" i="9"/>
  <c r="X12" i="20" s="1"/>
  <c r="X9" i="30" s="1"/>
  <c r="J31" i="9"/>
  <c r="Y12" i="20" s="1"/>
  <c r="Y9" i="30" s="1"/>
  <c r="J19" i="9"/>
  <c r="O12" i="20" s="1"/>
  <c r="O9" i="30" s="1"/>
  <c r="J35" i="9"/>
  <c r="J8" i="9"/>
  <c r="F12" i="20" s="1"/>
  <c r="F9" i="30" s="1"/>
  <c r="J24" i="9"/>
  <c r="S12" i="20" s="1"/>
  <c r="S9" i="30" s="1"/>
  <c r="J41" i="9"/>
  <c r="AH12" i="20" s="1"/>
  <c r="AF9" i="30" s="1"/>
  <c r="J7" i="9"/>
  <c r="E12" i="20" s="1"/>
  <c r="E9" i="30" s="1"/>
  <c r="J29" i="9"/>
  <c r="W12" i="20" s="1"/>
  <c r="W9" i="30" s="1"/>
  <c r="J40" i="9"/>
  <c r="AF12" i="20"/>
  <c r="AD9" i="30" s="1"/>
  <c r="J44" i="9"/>
  <c r="AK12" i="20" s="1"/>
  <c r="AI9" i="30" s="1"/>
  <c r="J32" i="9"/>
  <c r="Z12" i="20" s="1"/>
  <c r="Z9" i="30" s="1"/>
  <c r="J43" i="9"/>
  <c r="AJ12" i="20" s="1"/>
  <c r="AH9" i="30" s="1"/>
  <c r="J21" i="9"/>
  <c r="Q12" i="20" s="1"/>
  <c r="Q9" i="30" s="1"/>
  <c r="J26" i="9"/>
  <c r="U12" i="20" s="1"/>
  <c r="U9" i="30" s="1"/>
  <c r="J36" i="9"/>
  <c r="J10" i="9"/>
  <c r="H12" i="20" s="1"/>
  <c r="H9" i="30" s="1"/>
  <c r="J42" i="9"/>
  <c r="AI12" i="20" s="1"/>
  <c r="AG9" i="30" s="1"/>
  <c r="J13" i="9"/>
  <c r="J12" i="20" s="1"/>
  <c r="J9" i="30" s="1"/>
  <c r="J15" i="9"/>
  <c r="L12" i="20" s="1"/>
  <c r="L9" i="30" s="1"/>
  <c r="J59" i="9"/>
  <c r="B39" i="9"/>
  <c r="I60" i="9"/>
  <c r="I10" i="20"/>
  <c r="I7" i="30" s="1"/>
  <c r="H60" i="9"/>
  <c r="M10" i="20"/>
  <c r="M7" i="30" s="1"/>
  <c r="V10" i="20"/>
  <c r="V7" i="30" s="1"/>
  <c r="R9" i="20"/>
  <c r="R6" i="30" s="1"/>
  <c r="H23" i="9"/>
  <c r="R10" i="20" s="1"/>
  <c r="R7" i="30" s="1"/>
  <c r="M9" i="20"/>
  <c r="M6" i="30" s="1"/>
  <c r="V9" i="20"/>
  <c r="V6" i="30" s="1"/>
  <c r="I9" i="20"/>
  <c r="I6" i="30" s="1"/>
  <c r="M6" i="20"/>
  <c r="M3" i="30" s="1"/>
  <c r="E17" i="9"/>
  <c r="M7" i="20" s="1"/>
  <c r="M4" i="30" s="1"/>
  <c r="R6" i="20"/>
  <c r="R3" i="30" s="1"/>
  <c r="E23" i="9"/>
  <c r="R7" i="20" s="1"/>
  <c r="R4" i="30" s="1"/>
  <c r="V6" i="20"/>
  <c r="V3" i="30" s="1"/>
  <c r="E28" i="9"/>
  <c r="V7" i="20" s="1"/>
  <c r="V4" i="30" s="1"/>
  <c r="I6" i="20"/>
  <c r="I3" i="30" s="1"/>
  <c r="E12" i="9"/>
  <c r="I7" i="20" s="1"/>
  <c r="I4" i="30" s="1"/>
  <c r="F28" i="9"/>
  <c r="V8" i="20" s="1"/>
  <c r="V5" i="30" s="1"/>
  <c r="F17" i="9"/>
  <c r="M8" i="20" s="1"/>
  <c r="M5" i="30" s="1"/>
  <c r="F12" i="9"/>
  <c r="I8" i="20" s="1"/>
  <c r="I5" i="30" s="1"/>
  <c r="F60" i="9"/>
  <c r="D8" i="20"/>
  <c r="D5" i="30" s="1"/>
  <c r="F23" i="9"/>
  <c r="R8" i="20" s="1"/>
  <c r="R5" i="30" s="1"/>
  <c r="AK7" i="30"/>
  <c r="AK5" i="30"/>
  <c r="E71" i="9"/>
  <c r="D71" i="9"/>
  <c r="I11" i="30"/>
  <c r="AE11" i="30"/>
  <c r="AE10" i="30"/>
  <c r="R11" i="30"/>
  <c r="AK11" i="30"/>
  <c r="AK10" i="30"/>
  <c r="V11" i="30"/>
  <c r="M11" i="30"/>
  <c r="AC11" i="30"/>
  <c r="AB11" i="30"/>
  <c r="B25" i="9"/>
  <c r="M10" i="30"/>
  <c r="R10" i="30"/>
  <c r="V10" i="30"/>
  <c r="I10" i="30"/>
  <c r="D60" i="9"/>
  <c r="AG11" i="20"/>
  <c r="AE8" i="30" s="1"/>
  <c r="E60" i="9"/>
  <c r="D10" i="20"/>
  <c r="D7" i="30" s="1"/>
  <c r="D9" i="20"/>
  <c r="D6" i="30" s="1"/>
  <c r="D7" i="20"/>
  <c r="D4" i="30" s="1"/>
  <c r="D6" i="20"/>
  <c r="D3" i="30" s="1"/>
  <c r="B45" i="9" l="1"/>
  <c r="B29" i="9"/>
  <c r="B18" i="9"/>
  <c r="B20" i="9"/>
  <c r="B10" i="9"/>
  <c r="B9" i="9"/>
  <c r="B7" i="9"/>
  <c r="B8" i="9"/>
  <c r="B42" i="9"/>
  <c r="B14" i="9"/>
  <c r="B41" i="9"/>
  <c r="B26" i="9"/>
  <c r="B24" i="9"/>
  <c r="B15" i="9"/>
  <c r="J65" i="9"/>
  <c r="J63" i="9"/>
  <c r="J66" i="9"/>
  <c r="J64" i="9"/>
  <c r="B43" i="9"/>
  <c r="B30" i="9"/>
  <c r="B21" i="9"/>
  <c r="B19" i="9"/>
  <c r="AD12" i="20"/>
  <c r="AC9" i="30" s="1"/>
  <c r="B36" i="9"/>
  <c r="AG12" i="20"/>
  <c r="AE9" i="30" s="1"/>
  <c r="J70" i="9"/>
  <c r="J71" i="9" s="1"/>
  <c r="AM12" i="20" s="1"/>
  <c r="AK9" i="30" s="1"/>
  <c r="B40" i="9"/>
  <c r="B31" i="9"/>
  <c r="B13" i="9"/>
  <c r="B44" i="9"/>
  <c r="B32" i="9"/>
  <c r="AC12" i="20"/>
  <c r="AB9" i="30" s="1"/>
  <c r="B35" i="9"/>
  <c r="AM7" i="20"/>
  <c r="AK4" i="30" s="1"/>
  <c r="AM6" i="20"/>
  <c r="AK3" i="30" s="1"/>
  <c r="AK8" i="30"/>
  <c r="D11" i="30"/>
  <c r="D10" i="30"/>
  <c r="J60" i="9" l="1"/>
  <c r="A2" i="9" l="1"/>
  <c r="A2" i="31" s="1"/>
  <c r="A56" i="9"/>
  <c r="A55" i="9"/>
  <c r="AF47" i="9"/>
  <c r="AE47" i="9"/>
  <c r="AD47" i="9"/>
  <c r="Z47" i="9"/>
  <c r="Y47" i="9"/>
  <c r="X47" i="9"/>
  <c r="W47" i="9"/>
  <c r="V47" i="9"/>
  <c r="U47" i="9"/>
  <c r="T47" i="9"/>
  <c r="S47" i="9"/>
  <c r="R47" i="9"/>
  <c r="Q47" i="9"/>
  <c r="P47" i="9"/>
  <c r="O47" i="9"/>
  <c r="N47" i="9"/>
  <c r="M47" i="9"/>
  <c r="L47" i="9"/>
  <c r="A2" i="26" l="1"/>
  <c r="A2" i="23"/>
  <c r="A2" i="28"/>
  <c r="A2" i="22"/>
  <c r="A2" i="27"/>
  <c r="A32" i="9"/>
  <c r="A32" i="31" s="1"/>
  <c r="A31" i="9"/>
  <c r="A31" i="31" s="1"/>
  <c r="A30" i="9"/>
  <c r="A30" i="31" s="1"/>
  <c r="A29" i="9"/>
  <c r="A29" i="31" s="1"/>
  <c r="A26" i="9"/>
  <c r="A26" i="31" s="1"/>
  <c r="A25" i="9"/>
  <c r="A25" i="31" s="1"/>
  <c r="A24" i="9"/>
  <c r="A24" i="31" s="1"/>
  <c r="A21" i="9"/>
  <c r="A21" i="31" s="1"/>
  <c r="A20" i="9"/>
  <c r="A20" i="31" s="1"/>
  <c r="A19" i="9"/>
  <c r="A19" i="31" s="1"/>
  <c r="A18" i="9"/>
  <c r="A18" i="31" s="1"/>
  <c r="A15" i="9"/>
  <c r="A15" i="31" s="1"/>
  <c r="A14" i="9"/>
  <c r="A14" i="31" s="1"/>
  <c r="A13" i="9"/>
  <c r="A13" i="31" s="1"/>
  <c r="A10" i="9"/>
  <c r="A10" i="31" s="1"/>
  <c r="A9" i="9"/>
  <c r="A9" i="31" s="1"/>
  <c r="A7" i="9"/>
  <c r="A7" i="31" s="1"/>
  <c r="A8" i="9"/>
  <c r="A8" i="31" s="1"/>
  <c r="A30" i="26" l="1"/>
  <c r="A30" i="28"/>
  <c r="A30" i="23"/>
  <c r="A30" i="22"/>
  <c r="A30" i="27"/>
  <c r="A32" i="26"/>
  <c r="A32" i="28"/>
  <c r="A32" i="22"/>
  <c r="A32" i="27"/>
  <c r="A32" i="23"/>
  <c r="A7" i="28"/>
  <c r="A7" i="22"/>
  <c r="A7" i="27"/>
  <c r="A7" i="26"/>
  <c r="A7" i="23"/>
  <c r="A31" i="23"/>
  <c r="A31" i="28"/>
  <c r="A31" i="26"/>
  <c r="A31" i="22"/>
  <c r="A31" i="27"/>
  <c r="A9" i="28"/>
  <c r="A9" i="27"/>
  <c r="A9" i="26"/>
  <c r="A9" i="23"/>
  <c r="A9" i="22"/>
  <c r="A14" i="26"/>
  <c r="A14" i="23"/>
  <c r="A14" i="28"/>
  <c r="A14" i="22"/>
  <c r="A14" i="27"/>
  <c r="A15" i="26"/>
  <c r="A15" i="28"/>
  <c r="A15" i="22"/>
  <c r="A15" i="27"/>
  <c r="A15" i="23"/>
  <c r="A8" i="22"/>
  <c r="A8" i="27"/>
  <c r="A8" i="26"/>
  <c r="A8" i="23"/>
  <c r="A8" i="28"/>
  <c r="A10" i="28"/>
  <c r="A10" i="22"/>
  <c r="A10" i="27"/>
  <c r="A10" i="26"/>
  <c r="A10" i="23"/>
  <c r="A13" i="22"/>
  <c r="A13" i="28"/>
  <c r="A13" i="26"/>
  <c r="A13" i="27"/>
  <c r="A13" i="23"/>
  <c r="A18" i="27"/>
  <c r="A18" i="26"/>
  <c r="A18" i="23"/>
  <c r="A18" i="22"/>
  <c r="A18" i="28"/>
  <c r="A19" i="27"/>
  <c r="A19" i="26"/>
  <c r="A19" i="23"/>
  <c r="A19" i="28"/>
  <c r="A19" i="22"/>
  <c r="A20" i="23"/>
  <c r="A20" i="26"/>
  <c r="A20" i="28"/>
  <c r="A20" i="27"/>
  <c r="A20" i="22"/>
  <c r="A21" i="27"/>
  <c r="A21" i="23"/>
  <c r="A21" i="26"/>
  <c r="A21" i="22"/>
  <c r="A21" i="28"/>
  <c r="A24" i="22"/>
  <c r="A24" i="27"/>
  <c r="A24" i="26"/>
  <c r="A24" i="23"/>
  <c r="A24" i="28"/>
  <c r="A25" i="28"/>
  <c r="A25" i="22"/>
  <c r="A25" i="27"/>
  <c r="A25" i="26"/>
  <c r="A25" i="23"/>
  <c r="A26" i="28"/>
  <c r="A26" i="27"/>
  <c r="A26" i="26"/>
  <c r="A26" i="22"/>
  <c r="A26" i="23"/>
  <c r="A29" i="27"/>
  <c r="A29" i="26"/>
  <c r="A29" i="23"/>
  <c r="A29" i="28"/>
  <c r="A29" i="22"/>
  <c r="A36" i="11" l="1"/>
  <c r="A35" i="11"/>
  <c r="A34" i="11"/>
  <c r="A4" i="11"/>
  <c r="C28" i="9"/>
  <c r="C23" i="9"/>
  <c r="C17" i="9"/>
  <c r="C12" i="9"/>
  <c r="C6" i="9"/>
  <c r="AI23" i="9"/>
  <c r="F23" i="31" l="1"/>
  <c r="D23" i="31"/>
  <c r="E23" i="31"/>
  <c r="F12" i="31"/>
  <c r="D12" i="31"/>
  <c r="E12" i="31"/>
  <c r="E17" i="31"/>
  <c r="F17" i="31"/>
  <c r="D17" i="31"/>
  <c r="D6" i="31"/>
  <c r="E6" i="31"/>
  <c r="F6" i="31"/>
  <c r="E28" i="31"/>
  <c r="F28" i="31"/>
  <c r="D28" i="31"/>
  <c r="D12" i="26"/>
  <c r="D17" i="26"/>
  <c r="D23" i="26"/>
  <c r="D6" i="26"/>
  <c r="D28" i="26"/>
  <c r="E17" i="26"/>
  <c r="F17" i="28"/>
  <c r="F17" i="22"/>
  <c r="F17" i="23"/>
  <c r="E17" i="28"/>
  <c r="F17" i="27"/>
  <c r="F17" i="26"/>
  <c r="D17" i="28"/>
  <c r="E12" i="28"/>
  <c r="F12" i="22"/>
  <c r="F12" i="26"/>
  <c r="D12" i="28"/>
  <c r="F12" i="27"/>
  <c r="E12" i="26"/>
  <c r="F12" i="28"/>
  <c r="F12" i="23"/>
  <c r="E23" i="28"/>
  <c r="E23" i="26"/>
  <c r="F23" i="26"/>
  <c r="D23" i="28"/>
  <c r="F23" i="28"/>
  <c r="F23" i="23"/>
  <c r="F23" i="22"/>
  <c r="F23" i="27"/>
  <c r="F6" i="23"/>
  <c r="F6" i="27"/>
  <c r="E6" i="26"/>
  <c r="F6" i="28"/>
  <c r="F6" i="22"/>
  <c r="E6" i="28"/>
  <c r="F6" i="26"/>
  <c r="D6" i="28"/>
  <c r="F28" i="23"/>
  <c r="F28" i="27"/>
  <c r="F28" i="26"/>
  <c r="E28" i="28"/>
  <c r="E28" i="26"/>
  <c r="F28" i="22"/>
  <c r="D28" i="28"/>
  <c r="F28" i="28"/>
  <c r="E6" i="23"/>
  <c r="D6" i="27"/>
  <c r="D6" i="22"/>
  <c r="E6" i="11"/>
  <c r="E6" i="22"/>
  <c r="F6" i="11"/>
  <c r="D6" i="23"/>
  <c r="E6" i="27"/>
  <c r="D6" i="11"/>
  <c r="E12" i="23"/>
  <c r="E12" i="22"/>
  <c r="D12" i="22"/>
  <c r="D12" i="27"/>
  <c r="D12" i="23"/>
  <c r="E12" i="11"/>
  <c r="F12" i="11"/>
  <c r="E12" i="27"/>
  <c r="D12" i="11"/>
  <c r="E17" i="11"/>
  <c r="E17" i="23"/>
  <c r="D17" i="27"/>
  <c r="F17" i="11"/>
  <c r="D17" i="22"/>
  <c r="E17" i="27"/>
  <c r="D17" i="23"/>
  <c r="E17" i="22"/>
  <c r="D17" i="11"/>
  <c r="D23" i="23"/>
  <c r="E23" i="27"/>
  <c r="D23" i="27"/>
  <c r="F23" i="11"/>
  <c r="E23" i="11"/>
  <c r="D23" i="22"/>
  <c r="E23" i="23"/>
  <c r="E23" i="22"/>
  <c r="D23" i="11"/>
  <c r="E28" i="22"/>
  <c r="E28" i="11"/>
  <c r="E28" i="27"/>
  <c r="D28" i="27"/>
  <c r="F28" i="11"/>
  <c r="D28" i="22"/>
  <c r="E28" i="23"/>
  <c r="D28" i="23"/>
  <c r="D28" i="11"/>
  <c r="A2" i="11"/>
  <c r="F5" i="31" l="1"/>
  <c r="F48" i="31"/>
  <c r="F4" i="31" s="1"/>
  <c r="F52" i="31" s="1"/>
  <c r="E48" i="31"/>
  <c r="E4" i="31" s="1"/>
  <c r="E52" i="31" s="1"/>
  <c r="E5" i="31"/>
  <c r="D5" i="31"/>
  <c r="D48" i="31"/>
  <c r="D4" i="31" s="1"/>
  <c r="D5" i="26"/>
  <c r="D48" i="26"/>
  <c r="D48" i="28"/>
  <c r="D5" i="28"/>
  <c r="F48" i="22"/>
  <c r="F5" i="22"/>
  <c r="F48" i="27"/>
  <c r="F5" i="27"/>
  <c r="F48" i="26"/>
  <c r="F5" i="26"/>
  <c r="F5" i="28"/>
  <c r="F48" i="28"/>
  <c r="F48" i="23"/>
  <c r="F5" i="23"/>
  <c r="E5" i="28"/>
  <c r="E48" i="28"/>
  <c r="E5" i="26"/>
  <c r="E48" i="26"/>
  <c r="E5" i="22"/>
  <c r="E5" i="27"/>
  <c r="E48" i="27"/>
  <c r="D5" i="23"/>
  <c r="D48" i="23"/>
  <c r="D4" i="23" s="1"/>
  <c r="F48" i="11"/>
  <c r="F5" i="11"/>
  <c r="E48" i="22"/>
  <c r="E48" i="11"/>
  <c r="E5" i="11"/>
  <c r="D48" i="22"/>
  <c r="D4" i="22" s="1"/>
  <c r="D5" i="22"/>
  <c r="D5" i="27"/>
  <c r="D48" i="27"/>
  <c r="D4" i="27" s="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56" i="31" l="1"/>
  <c r="E57" i="31" s="1"/>
  <c r="E3" i="31" s="1"/>
  <c r="D52" i="31"/>
  <c r="B4" i="31"/>
  <c r="D4" i="9" s="1"/>
  <c r="F56" i="31"/>
  <c r="F57" i="31" s="1"/>
  <c r="F3" i="31" s="1"/>
  <c r="B5" i="31"/>
  <c r="D5" i="9" s="1"/>
  <c r="F4" i="11"/>
  <c r="F52" i="11" s="1"/>
  <c r="F56" i="11" s="1"/>
  <c r="F57" i="11" s="1"/>
  <c r="F3" i="11" s="1"/>
  <c r="E4" i="27"/>
  <c r="E52" i="27" s="1"/>
  <c r="E56" i="27" s="1"/>
  <c r="E57" i="27" s="1"/>
  <c r="E3" i="27" s="1"/>
  <c r="E4" i="28"/>
  <c r="E52" i="28" s="1"/>
  <c r="E56" i="28" s="1"/>
  <c r="E57" i="28" s="1"/>
  <c r="E3" i="28" s="1"/>
  <c r="F4" i="28"/>
  <c r="F52" i="28" s="1"/>
  <c r="F56" i="28" s="1"/>
  <c r="F57" i="28" s="1"/>
  <c r="F3" i="28" s="1"/>
  <c r="D4" i="26"/>
  <c r="D52" i="26" s="1"/>
  <c r="E4" i="22"/>
  <c r="E52" i="22" s="1"/>
  <c r="E56" i="22" s="1"/>
  <c r="E57" i="22" s="1"/>
  <c r="E3" i="22" s="1"/>
  <c r="F4" i="26"/>
  <c r="F52" i="26" s="1"/>
  <c r="F56" i="26" s="1"/>
  <c r="F4" i="22"/>
  <c r="F52" i="22" s="1"/>
  <c r="F56" i="22" s="1"/>
  <c r="F57" i="22" s="1"/>
  <c r="F3" i="22" s="1"/>
  <c r="E4" i="11"/>
  <c r="E52" i="11" s="1"/>
  <c r="E56" i="11" s="1"/>
  <c r="E57" i="11" s="1"/>
  <c r="E3" i="11" s="1"/>
  <c r="E4" i="26"/>
  <c r="E52" i="26" s="1"/>
  <c r="E56" i="26" s="1"/>
  <c r="E57" i="26" s="1"/>
  <c r="E3" i="26" s="1"/>
  <c r="E4" i="23"/>
  <c r="E52" i="23" s="1"/>
  <c r="E56" i="23" s="1"/>
  <c r="E57" i="23" s="1"/>
  <c r="E3" i="23" s="1"/>
  <c r="F4" i="23"/>
  <c r="F52" i="23" s="1"/>
  <c r="F56" i="23" s="1"/>
  <c r="F57" i="23" s="1"/>
  <c r="F3" i="23" s="1"/>
  <c r="F4" i="27"/>
  <c r="F52" i="27" s="1"/>
  <c r="F56" i="27" s="1"/>
  <c r="F57" i="27" s="1"/>
  <c r="F3" i="27" s="1"/>
  <c r="D4" i="28"/>
  <c r="B5" i="26"/>
  <c r="G5" i="9" s="1"/>
  <c r="D52" i="22"/>
  <c r="B5" i="22"/>
  <c r="E5" i="9" s="1"/>
  <c r="B5" i="27"/>
  <c r="H5" i="9" s="1"/>
  <c r="D52" i="23"/>
  <c r="D52" i="27"/>
  <c r="B5" i="23"/>
  <c r="F5" i="9" s="1"/>
  <c r="B5" i="28"/>
  <c r="I5" i="9" s="1"/>
  <c r="D5" i="11"/>
  <c r="D48" i="11"/>
  <c r="D4" i="11" s="1"/>
  <c r="AF5" i="20"/>
  <c r="AD2" i="30" s="1"/>
  <c r="D56" i="31" l="1"/>
  <c r="D57" i="31" s="1"/>
  <c r="D3" i="31" s="1"/>
  <c r="B4" i="28"/>
  <c r="I4" i="9" s="1"/>
  <c r="I52" i="9" s="1"/>
  <c r="I56" i="9" s="1"/>
  <c r="I57" i="9" s="1"/>
  <c r="I67" i="9" s="1"/>
  <c r="I48" i="9" s="1"/>
  <c r="I3" i="9" s="1"/>
  <c r="B4" i="26"/>
  <c r="G4" i="9" s="1"/>
  <c r="G52" i="9" s="1"/>
  <c r="G56" i="9" s="1"/>
  <c r="D56" i="26"/>
  <c r="D57" i="26" s="1"/>
  <c r="D3" i="26" s="1"/>
  <c r="B4" i="23"/>
  <c r="B4" i="22"/>
  <c r="D52" i="28"/>
  <c r="D56" i="28" s="1"/>
  <c r="D57" i="28" s="1"/>
  <c r="D3" i="28" s="1"/>
  <c r="B4" i="27"/>
  <c r="H4" i="9" s="1"/>
  <c r="H52" i="9" s="1"/>
  <c r="H56" i="9" s="1"/>
  <c r="H57" i="9" s="1"/>
  <c r="H67" i="9" s="1"/>
  <c r="H48" i="9" s="1"/>
  <c r="H3" i="9" s="1"/>
  <c r="D56" i="27"/>
  <c r="D57" i="27" s="1"/>
  <c r="D3" i="27" s="1"/>
  <c r="D56" i="23"/>
  <c r="D57" i="23" s="1"/>
  <c r="D3" i="23"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AK5" i="20"/>
  <c r="AI2" i="30" s="1"/>
  <c r="C33" i="11"/>
  <c r="B28" i="11" s="1"/>
  <c r="J28" i="9" s="1"/>
  <c r="V12" i="20" s="1"/>
  <c r="V9" i="30" s="1"/>
  <c r="C27" i="11"/>
  <c r="B23" i="11" s="1"/>
  <c r="J23" i="9" s="1"/>
  <c r="R12" i="20" s="1"/>
  <c r="R9" i="30" s="1"/>
  <c r="C16" i="11"/>
  <c r="B12" i="11" s="1"/>
  <c r="J12" i="9" s="1"/>
  <c r="I12" i="20" s="1"/>
  <c r="I9" i="30" s="1"/>
  <c r="C22" i="11"/>
  <c r="B17" i="11" s="1"/>
  <c r="J17" i="9" s="1"/>
  <c r="M12" i="20" s="1"/>
  <c r="M9" i="30" s="1"/>
  <c r="C11" i="11"/>
  <c r="C37" i="11"/>
  <c r="C6" i="20" l="1"/>
  <c r="C3" i="30" s="1"/>
  <c r="E4" i="9"/>
  <c r="C7" i="20" s="1"/>
  <c r="C4" i="30" s="1"/>
  <c r="F4" i="9"/>
  <c r="F52" i="9" s="1"/>
  <c r="F56" i="9" s="1"/>
  <c r="F57" i="9" s="1"/>
  <c r="F67" i="9" s="1"/>
  <c r="F48" i="9" s="1"/>
  <c r="F3" i="9" s="1"/>
  <c r="B3" i="26" s="1"/>
  <c r="C10" i="20"/>
  <c r="C7" i="30" s="1"/>
  <c r="B10" i="20"/>
  <c r="B7" i="30" s="1"/>
  <c r="B3" i="28"/>
  <c r="B11" i="30"/>
  <c r="C10" i="30"/>
  <c r="C9" i="20"/>
  <c r="C6" i="30" s="1"/>
  <c r="D52" i="9"/>
  <c r="D56" i="9" s="1"/>
  <c r="D57" i="9" s="1"/>
  <c r="D67" i="9" s="1"/>
  <c r="D48" i="9" s="1"/>
  <c r="D3" i="9" s="1"/>
  <c r="V11" i="20"/>
  <c r="V8" i="30" s="1"/>
  <c r="B28" i="9"/>
  <c r="M11" i="20"/>
  <c r="M8" i="30" s="1"/>
  <c r="B17" i="9"/>
  <c r="R11" i="20"/>
  <c r="R8" i="30" s="1"/>
  <c r="B23" i="9"/>
  <c r="I11" i="20"/>
  <c r="I8" i="30" s="1"/>
  <c r="B12" i="9"/>
  <c r="B10" i="30"/>
  <c r="B34" i="11"/>
  <c r="J34" i="9" s="1"/>
  <c r="AB12" i="20" s="1"/>
  <c r="AA9" i="30" s="1"/>
  <c r="AG5" i="20"/>
  <c r="AE2" i="30" s="1"/>
  <c r="B6" i="11"/>
  <c r="J6" i="9" s="1"/>
  <c r="D12" i="20" s="1"/>
  <c r="D9" i="30" s="1"/>
  <c r="D52" i="11"/>
  <c r="B4" i="11"/>
  <c r="J4" i="9" s="1"/>
  <c r="AB7" i="30"/>
  <c r="AC7" i="30"/>
  <c r="S5" i="20"/>
  <c r="S2" i="30" s="1"/>
  <c r="E5" i="20"/>
  <c r="E2" i="30" s="1"/>
  <c r="AC3" i="30"/>
  <c r="AB3" i="30"/>
  <c r="W5" i="20"/>
  <c r="W2" i="30" s="1"/>
  <c r="C12" i="20" l="1"/>
  <c r="C9" i="30" s="1"/>
  <c r="J52" i="9"/>
  <c r="J56" i="9" s="1"/>
  <c r="J57" i="9" s="1"/>
  <c r="J67" i="9" s="1"/>
  <c r="J48" i="9" s="1"/>
  <c r="J3" i="9" s="1"/>
  <c r="B12" i="20" s="1"/>
  <c r="B9" i="30" s="1"/>
  <c r="E52" i="9"/>
  <c r="E56" i="9" s="1"/>
  <c r="E57" i="9" s="1"/>
  <c r="E67" i="9" s="1"/>
  <c r="E48" i="9" s="1"/>
  <c r="E3" i="9" s="1"/>
  <c r="B8" i="20"/>
  <c r="B5" i="30" s="1"/>
  <c r="C8" i="20"/>
  <c r="C5" i="30" s="1"/>
  <c r="AM5" i="20"/>
  <c r="AK2" i="30" s="1"/>
  <c r="B6" i="20"/>
  <c r="B3" i="30" s="1"/>
  <c r="B3" i="22"/>
  <c r="C11" i="30"/>
  <c r="AB5" i="20"/>
  <c r="AA2" i="30" s="1"/>
  <c r="B5" i="11"/>
  <c r="B4" i="9"/>
  <c r="D56" i="11"/>
  <c r="D57" i="11" s="1"/>
  <c r="D3" i="11" s="1"/>
  <c r="C5" i="20"/>
  <c r="C2" i="30" s="1"/>
  <c r="AC6" i="30"/>
  <c r="AB6" i="30"/>
  <c r="AC5" i="30"/>
  <c r="AB5" i="30"/>
  <c r="I5" i="20"/>
  <c r="I2" i="30" s="1"/>
  <c r="V5" i="20"/>
  <c r="V2" i="30" s="1"/>
  <c r="R5" i="20"/>
  <c r="R2" i="30" s="1"/>
  <c r="M5" i="20"/>
  <c r="M2" i="30" s="1"/>
  <c r="J5" i="20"/>
  <c r="J2" i="30" s="1"/>
  <c r="N5" i="20"/>
  <c r="N2" i="30" s="1"/>
  <c r="D5" i="20"/>
  <c r="D2" i="30" s="1"/>
  <c r="J5" i="9" l="1"/>
  <c r="B5" i="9" s="1"/>
  <c r="B7" i="20"/>
  <c r="B4" i="30" s="1"/>
  <c r="B3" i="23"/>
  <c r="AB11" i="20"/>
  <c r="AA8" i="30" s="1"/>
  <c r="B34" i="9"/>
  <c r="D11" i="20"/>
  <c r="D8" i="30" s="1"/>
  <c r="B6" i="9"/>
  <c r="C11" i="20"/>
  <c r="C8" i="30" s="1"/>
  <c r="B11" i="20" l="1"/>
  <c r="B8" i="30" s="1"/>
  <c r="B3" i="11"/>
  <c r="B52" i="9"/>
  <c r="B3" i="31"/>
  <c r="B5" i="20" l="1"/>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F51" i="26" l="1"/>
  <c r="F55" i="26" l="1"/>
  <c r="F57" i="26"/>
  <c r="F3" i="26" s="1"/>
  <c r="G69" i="9" l="1"/>
  <c r="G71" i="9" s="1"/>
  <c r="AM9" i="20" s="1"/>
  <c r="AK6" i="30" s="1"/>
  <c r="G51" i="9"/>
  <c r="B69" i="9" l="1"/>
  <c r="B71" i="9" s="1"/>
  <c r="AM35" i="20" s="1"/>
  <c r="AK32" i="30" s="1"/>
  <c r="B51" i="9"/>
  <c r="G55" i="9"/>
  <c r="G60" i="9"/>
  <c r="G57" i="9"/>
  <c r="G67" i="9" s="1"/>
  <c r="G48" i="9" s="1"/>
  <c r="G3" i="9" s="1"/>
  <c r="B3" i="27" l="1"/>
  <c r="B9" i="20"/>
  <c r="B6" i="30" s="1"/>
  <c r="B55" i="9"/>
  <c r="B59" i="9"/>
  <c r="B48" i="9"/>
  <c r="B3" i="9" s="1"/>
  <c r="B35" i="20" s="1"/>
  <c r="B32" i="30" s="1"/>
  <c r="B57" i="9"/>
</calcChain>
</file>

<file path=xl/sharedStrings.xml><?xml version="1.0" encoding="utf-8"?>
<sst xmlns="http://schemas.openxmlformats.org/spreadsheetml/2006/main" count="1900" uniqueCount="164">
  <si>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</si>
  <si>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</si>
  <si>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</si>
  <si>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</si>
  <si>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</si>
  <si>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</si>
  <si>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</si>
  <si>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</si>
  <si>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</si>
  <si>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</si>
  <si>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</si>
  <si>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</si>
  <si>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</si>
  <si>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</si>
  <si>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</si>
  <si>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</si>
  <si>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</si>
  <si>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</si>
  <si>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</si>
  <si>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</si>
  <si>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</si>
  <si>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</si>
  <si>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</si>
  <si>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</si>
  <si>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</si>
  <si>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</si>
  <si>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</si>
  <si>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</si>
  <si>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</si>
  <si>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</si>
  <si>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</si>
  <si>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</si>
  <si>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</si>
  <si>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</si>
  <si>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</si>
  <si>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</si>
  <si>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</si>
  <si>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</si>
  <si>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</si>
  <si>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</si>
  <si>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</si>
  <si>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</si>
  <si>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</si>
  <si>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</si>
  <si>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</si>
  <si>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</si>
  <si>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</si>
  <si>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</si>
  <si>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</si>
  <si>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</si>
  <si>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</si>
  <si>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</si>
  <si>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</si>
  <si>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</si>
  <si>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</si>
  <si>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</si>
  <si>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</si>
  <si>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</si>
  <si>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</si>
  <si>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</si>
  <si>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</si>
  <si>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</si>
  <si>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</si>
  <si>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</si>
  <si>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</si>
  <si>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</si>
  <si>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</si>
  <si>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</si>
  <si>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</si>
  <si>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</si>
  <si>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</si>
  <si>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</si>
  <si>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</si>
  <si>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</si>
  <si>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</si>
  <si>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</si>
  <si>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</si>
  <si>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</si>
  <si>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</si>
  <si>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</si>
  <si>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</si>
  <si>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</si>
  <si>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</si>
  <si>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</si>
  <si>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</si>
  <si>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</si>
  <si>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BLUE CARE</t>
  </si>
  <si>
    <t>BOLTON CLARKE</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</si>
  <si>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</si>
  <si>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</si>
  <si>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</si>
  <si>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</si>
  <si>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</si>
  <si>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</si>
  <si>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</si>
  <si>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</si>
  <si>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</si>
  <si>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</si>
  <si>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</si>
  <si>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</si>
  <si>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</si>
  <si>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</si>
  <si>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</si>
  <si>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</si>
  <si>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</si>
  <si>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</si>
  <si>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</si>
  <si>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</si>
  <si>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</si>
  <si>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</si>
  <si>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AGED CARE</t>
  </si>
  <si>
    <t>AGENT MASTERY SCORE</t>
  </si>
  <si>
    <t>ACXPA AGENT MASTERY Report</t>
  </si>
  <si>
    <t>UNITING NSW.ACT</t>
  </si>
  <si>
    <t>HAMMONDCARE</t>
  </si>
  <si>
    <t>BENETAS</t>
  </si>
  <si>
    <t>SILVER CHAIN</t>
  </si>
  <si>
    <t>IMPACT</t>
  </si>
  <si>
    <t>UNITING AGE WELL</t>
  </si>
  <si>
    <t>n</t>
  </si>
  <si>
    <t>y</t>
  </si>
  <si>
    <t>Ariel</t>
  </si>
  <si>
    <t>Added the 'please not the call is being recorded' thing in her greeting, bit transactional. Asked what kind of care she was after, if she'd been via my aged care. Explained process for subsidised services via my aged care and a bit about what options are available. Did explain private vs. subsidised rate. No checks or attampt to keep caller in the buying loop.</t>
  </si>
  <si>
    <t>Terri</t>
  </si>
  <si>
    <t>Bit of an abrupt manner. Referred to caller's mum as 'the client'. Referred to my aged care. Gave number to call. Explained they'd need a referral code, but didn't go into detail about what that was. Did give some advice for what to ask for when she rang my aged care.</t>
  </si>
  <si>
    <t>Simone</t>
  </si>
  <si>
    <t>Restated up front as line was choppy. Bit of an abrupt manner - jargon (referral codes). Advised to contact my aged care.</t>
  </si>
  <si>
    <t>Sammy</t>
  </si>
  <si>
    <t xml:space="preserve">Warm manner. Asked a few questions. Was steering caller towards GP for an assessment, not my aged care. Bit confusing as someone who was new to everything. </t>
  </si>
  <si>
    <t>Christy</t>
  </si>
  <si>
    <t>Didn't brand company,but greeting was warm. Asked if caller had been in touch with my aged care yet, briefly explained who they were and what caller would need to do.</t>
  </si>
  <si>
    <t>Debbie</t>
  </si>
  <si>
    <t>No how can I help in greeting. Used a lot of jargon that a caller new to the industry wouldn't know. Information was confusing. Referred to my aged care.</t>
  </si>
  <si>
    <t>Khan</t>
  </si>
  <si>
    <t>Asked if mum had had a my aged care assessment, assumed they'd want subsidised as private pay was expensive. Asked name later in call. Gave number for my aged care. Awkward close.</t>
  </si>
  <si>
    <t>Raelene</t>
  </si>
  <si>
    <t>Advised call was recorded up front, asked for name. Did use it, but greeting was a bit awkward and transactional. Straight into giving info about how to transfer - contact my aged care first, get a new referral code. Close not structured, bit abrupt.</t>
  </si>
  <si>
    <t>Faith</t>
  </si>
  <si>
    <t>Asked name in greeting before asking how she could help, but didn't use it. Offered to organise a callback from the support at home team, or send out an info pamphlet.</t>
  </si>
  <si>
    <t>Manju</t>
  </si>
  <si>
    <t>Warm voice, offered to take details for sales team to call back. Advised what info she'd need to have when calling back.</t>
  </si>
  <si>
    <t>Trish</t>
  </si>
  <si>
    <t>Straight into answering caller's question - info was provided clearly. Encouraged caller to ring back.</t>
  </si>
  <si>
    <t>Jackie</t>
  </si>
  <si>
    <t>Straight into answering caller's question - advised she'd need to talk to specialist team. Would need to ring back with mum's details and aged care id. Warm manner.</t>
  </si>
  <si>
    <t>Matt/ Paige</t>
  </si>
  <si>
    <t xml:space="preserve">First operator polite manner, advised he'd have to make an enquiry then put her through to team for more detail. Quite a long hold. Second operator warm and friendly, good restate up front. Good check for questions. Thorough process - could have asked what the caller needed at that point, but what she gave was comprehensive and clear. </t>
  </si>
  <si>
    <t>Alice</t>
  </si>
  <si>
    <t>Asked name in greeting after the usual weird call recorded info. Did use it up front. Asked if mum had been assessed, then into info about private pay vs. my aged care. Could have asked preference for which option. Good info for how to approach the assessment process with my aged care.</t>
  </si>
  <si>
    <t>Lorelle</t>
  </si>
  <si>
    <t xml:space="preserve">Warm friendly manner, referred to my aged care, explained a bit about the process and cost difference between private pay and subsidised. </t>
  </si>
  <si>
    <t>Salena</t>
  </si>
  <si>
    <t>There was confusion up front when the operator asked if she wanted residential care and the caller said yeah, not realising this was different to care at home. Did get cleared up later but still confusing - not able to tailor her communication to someone completely new. Referred to my aged care.</t>
  </si>
  <si>
    <t>Shamira</t>
  </si>
  <si>
    <t>Asked if mum had been assessed for home care, if she was after private or subsidy. Referred to my aged care. Didn't give a great deal of info.</t>
  </si>
  <si>
    <t>Shannon</t>
  </si>
  <si>
    <t>Didn't brand company but warm good energy in greeting. Asked if caller had been to my aged care, referred there - gave high level info, not a great deal. Close lacked structure.</t>
  </si>
  <si>
    <t xml:space="preserve">No how can I help in greeting. Restated up front. Referred to my aged care, not a lot of info given. Hard to understand in places. </t>
  </si>
  <si>
    <t>Jordan</t>
  </si>
  <si>
    <t xml:space="preserve">Started by asking if she'd been to my aged care - that would be starting point. Gave direct line. Gave some info about what to expect there. </t>
  </si>
  <si>
    <t>Audra</t>
  </si>
  <si>
    <t>Asked name in greeting, used to engage. Asked some questions to establish situation, offered to arrange a callback from relevant team.</t>
  </si>
  <si>
    <t>JULY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</si>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</sst>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sz val="18"/>
      <color theme="0"/>
      <name val="Calibri"/>
      <family val="2"/>
      <scheme val="minor"/>
    </font>
    <font>
      <sz val="14"/>
      <color theme="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100">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style="thin">
        <color theme="0" tint="-0.249977111117893"/>
      </top>
      <bottom/>
      <diagonal/>
    </border>
    <border>
      <left/>
      <right style="thin">
        <color auto="1"/>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9" fontId="8" fillId="0" borderId="0" applyFont="0" applyFill="0" applyBorder="0" applyAlignment="0" applyProtection="0"/>
    <xf numFmtId="0" fontId="35" fillId="0" borderId="0"/>
  </cellStyleXfs>
  <cellXfs count="352">
    <xf numFmtId="0" fontId="0" fillId="0" borderId="0" xfId="0"/>
    <xf numFmtId="9" fontId="13" fillId="3" borderId="1" xfId="0" applyNumberFormat="1" applyFont="1" applyFill="1" applyBorder="1" applyAlignment="1">
      <alignment horizontal="center" vertical="center"/>
    </xf>
    <xf numFmtId="0" fontId="14" fillId="4" borderId="0" xfId="0" applyFont="1" applyFill="1" applyAlignment="1">
      <alignment horizontal="right" vertical="center"/>
    </xf>
    <xf numFmtId="9" fontId="0" fillId="2" borderId="2" xfId="1" applyFont="1" applyFill="1" applyBorder="1" applyAlignment="1">
      <alignment horizontal="center" vertical="center"/>
    </xf>
    <xf numFmtId="0" fontId="12" fillId="0" borderId="0" xfId="0" applyFont="1"/>
    <xf numFmtId="0" fontId="16" fillId="4" borderId="0" xfId="0" applyFont="1" applyFill="1" applyAlignment="1">
      <alignment horizontal="right" vertical="center"/>
    </xf>
    <xf numFmtId="9" fontId="0" fillId="2" borderId="0" xfId="1" applyFont="1" applyFill="1" applyBorder="1" applyAlignment="1">
      <alignment horizontal="center" vertical="center"/>
    </xf>
    <xf numFmtId="9" fontId="19" fillId="6" borderId="3" xfId="0" applyNumberFormat="1" applyFont="1" applyFill="1" applyBorder="1" applyAlignment="1">
      <alignment horizontal="center"/>
    </xf>
    <xf numFmtId="0" fontId="19" fillId="6" borderId="4" xfId="0" applyFont="1" applyFill="1" applyBorder="1" applyAlignment="1">
      <alignment horizontal="center"/>
    </xf>
    <xf numFmtId="0" fontId="19" fillId="6" borderId="5" xfId="0" applyFont="1" applyFill="1" applyBorder="1" applyAlignment="1">
      <alignment horizontal="center"/>
    </xf>
    <xf numFmtId="9" fontId="13" fillId="0" borderId="1" xfId="0" applyNumberFormat="1" applyFont="1" applyBorder="1" applyAlignment="1">
      <alignment horizontal="center" vertical="center"/>
    </xf>
    <xf numFmtId="0" fontId="22" fillId="12" borderId="3" xfId="0" applyFont="1" applyFill="1" applyBorder="1" applyAlignment="1">
      <alignment horizontal="center" vertical="center"/>
    </xf>
    <xf numFmtId="0" fontId="23" fillId="13"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9" borderId="5" xfId="0" applyFont="1" applyFill="1" applyBorder="1" applyAlignment="1">
      <alignment horizontal="center" vertical="center"/>
    </xf>
    <xf numFmtId="0" fontId="22" fillId="5" borderId="5" xfId="0" applyFont="1" applyFill="1" applyBorder="1" applyAlignment="1">
      <alignment horizontal="center" vertical="center"/>
    </xf>
    <xf numFmtId="0" fontId="25" fillId="14" borderId="7" xfId="0" applyFont="1" applyFill="1" applyBorder="1" applyAlignment="1">
      <alignment horizontal="center"/>
    </xf>
    <xf numFmtId="0" fontId="21" fillId="14" borderId="0" xfId="0" applyFont="1" applyFill="1" applyAlignment="1">
      <alignment horizontal="right" vertical="center"/>
    </xf>
    <xf numFmtId="9" fontId="0" fillId="2" borderId="8" xfId="1" applyFont="1" applyFill="1" applyBorder="1" applyAlignment="1">
      <alignment horizontal="right" vertical="center"/>
    </xf>
    <xf numFmtId="0" fontId="24" fillId="15" borderId="0" xfId="0" applyFont="1" applyFill="1" applyAlignment="1">
      <alignment vertical="center"/>
    </xf>
    <xf numFmtId="0" fontId="26" fillId="16" borderId="0" xfId="0" applyFont="1" applyFill="1" applyAlignment="1">
      <alignment horizontal="right" vertical="center"/>
    </xf>
    <xf numFmtId="9" fontId="9" fillId="17" borderId="1" xfId="0" applyNumberFormat="1" applyFont="1" applyFill="1" applyBorder="1" applyAlignment="1">
      <alignment horizontal="center" vertical="center"/>
    </xf>
    <xf numFmtId="0" fontId="27" fillId="14" borderId="6" xfId="0" applyFont="1" applyFill="1" applyBorder="1" applyAlignment="1">
      <alignment vertical="center"/>
    </xf>
    <xf numFmtId="9" fontId="29" fillId="11" borderId="1" xfId="0" applyNumberFormat="1" applyFont="1" applyFill="1" applyBorder="1" applyAlignment="1">
      <alignment horizontal="left" vertical="top" wrapText="1"/>
    </xf>
    <xf numFmtId="1" fontId="18" fillId="15" borderId="2" xfId="1" applyNumberFormat="1" applyFont="1" applyFill="1" applyBorder="1" applyAlignment="1">
      <alignment horizontal="center" vertical="center"/>
    </xf>
    <xf numFmtId="0" fontId="26" fillId="0" borderId="0" xfId="0" applyFont="1" applyAlignment="1">
      <alignment vertical="center"/>
    </xf>
    <xf numFmtId="1" fontId="12" fillId="3" borderId="2" xfId="1" applyNumberFormat="1" applyFont="1" applyFill="1" applyBorder="1" applyAlignment="1">
      <alignment horizontal="center" vertical="center"/>
    </xf>
    <xf numFmtId="1" fontId="15" fillId="3" borderId="0" xfId="0" applyNumberFormat="1" applyFont="1" applyFill="1" applyAlignment="1">
      <alignment horizontal="center" vertical="center"/>
    </xf>
    <xf numFmtId="9" fontId="28" fillId="18" borderId="1" xfId="0" applyNumberFormat="1" applyFont="1" applyFill="1" applyBorder="1" applyAlignment="1">
      <alignment horizontal="center" vertical="center"/>
    </xf>
    <xf numFmtId="9" fontId="28" fillId="18" borderId="1" xfId="1" applyFont="1" applyFill="1" applyBorder="1" applyAlignment="1">
      <alignment horizontal="center" vertical="center"/>
    </xf>
    <xf numFmtId="9" fontId="9" fillId="10" borderId="1" xfId="0" applyNumberFormat="1" applyFont="1" applyFill="1" applyBorder="1" applyAlignment="1">
      <alignment horizontal="center" vertical="center"/>
    </xf>
    <xf numFmtId="17" fontId="18" fillId="11" borderId="0" xfId="0" applyNumberFormat="1" applyFont="1" applyFill="1" applyAlignment="1">
      <alignment horizontal="center" vertical="center"/>
    </xf>
    <xf numFmtId="17" fontId="18" fillId="0" borderId="0" xfId="0" applyNumberFormat="1" applyFont="1" applyAlignment="1">
      <alignment horizontal="left" vertical="center"/>
    </xf>
    <xf numFmtId="9" fontId="0" fillId="3" borderId="8" xfId="1" applyFont="1" applyFill="1" applyBorder="1" applyAlignment="1">
      <alignment horizontal="right" vertical="center"/>
    </xf>
    <xf numFmtId="165" fontId="8" fillId="2" borderId="2" xfId="1" applyNumberFormat="1" applyFont="1" applyFill="1" applyBorder="1" applyAlignment="1">
      <alignment horizontal="center" vertical="center"/>
    </xf>
    <xf numFmtId="0" fontId="11" fillId="21" borderId="0" xfId="0" applyFont="1" applyFill="1" applyAlignment="1">
      <alignment horizontal="center" vertical="center"/>
    </xf>
    <xf numFmtId="0" fontId="26" fillId="20" borderId="11" xfId="0" applyFont="1" applyFill="1" applyBorder="1" applyAlignment="1">
      <alignment horizontal="right" vertical="center"/>
    </xf>
    <xf numFmtId="164" fontId="9" fillId="17" borderId="1"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2" fillId="5" borderId="0" xfId="0" applyFont="1" applyFill="1" applyAlignment="1">
      <alignment horizontal="right" vertical="center"/>
    </xf>
    <xf numFmtId="164" fontId="9" fillId="0" borderId="1" xfId="0" applyNumberFormat="1" applyFont="1" applyBorder="1" applyAlignment="1">
      <alignment horizontal="center" vertical="center"/>
    </xf>
    <xf numFmtId="9" fontId="9"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1" fillId="0" borderId="0" xfId="0" applyFont="1" applyAlignment="1">
      <alignment horizontal="center" vertical="center"/>
    </xf>
    <xf numFmtId="1" fontId="30" fillId="0"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0" fontId="0" fillId="0" borderId="0" xfId="0" applyAlignment="1">
      <alignment horizontal="center"/>
    </xf>
    <xf numFmtId="164" fontId="29" fillId="0" borderId="0" xfId="1" applyNumberFormat="1" applyFont="1" applyAlignment="1">
      <alignment horizontal="center" vertical="center"/>
    </xf>
    <xf numFmtId="0" fontId="21" fillId="14" borderId="12" xfId="0" applyFont="1" applyFill="1" applyBorder="1" applyAlignment="1">
      <alignment horizontal="center" vertical="center"/>
    </xf>
    <xf numFmtId="164" fontId="33" fillId="0" borderId="13" xfId="0" applyNumberFormat="1" applyFont="1" applyBorder="1" applyAlignment="1">
      <alignment horizontal="center" vertical="center"/>
    </xf>
    <xf numFmtId="164" fontId="9" fillId="15" borderId="14" xfId="0" applyNumberFormat="1" applyFont="1" applyFill="1" applyBorder="1" applyAlignment="1">
      <alignment horizontal="center" vertical="center"/>
    </xf>
    <xf numFmtId="164" fontId="9" fillId="18" borderId="15" xfId="0" applyNumberFormat="1" applyFont="1" applyFill="1" applyBorder="1" applyAlignment="1">
      <alignment horizontal="center" vertical="center"/>
    </xf>
    <xf numFmtId="164" fontId="9" fillId="15" borderId="16" xfId="0" applyNumberFormat="1" applyFont="1" applyFill="1" applyBorder="1" applyAlignment="1">
      <alignment horizontal="center" vertical="center"/>
    </xf>
    <xf numFmtId="164" fontId="9" fillId="18" borderId="17" xfId="0" applyNumberFormat="1" applyFont="1" applyFill="1" applyBorder="1" applyAlignment="1">
      <alignment horizontal="center" vertical="center"/>
    </xf>
    <xf numFmtId="9" fontId="8" fillId="11" borderId="18" xfId="1" applyFont="1" applyFill="1" applyBorder="1" applyAlignment="1">
      <alignment horizontal="right" vertical="center"/>
    </xf>
    <xf numFmtId="164" fontId="29" fillId="11" borderId="2" xfId="1" applyNumberFormat="1" applyFont="1" applyFill="1" applyBorder="1" applyAlignment="1">
      <alignment horizontal="center" vertical="center"/>
    </xf>
    <xf numFmtId="0" fontId="29" fillId="0" borderId="0" xfId="0" applyFont="1" applyAlignment="1">
      <alignment horizontal="right"/>
    </xf>
    <xf numFmtId="164" fontId="29" fillId="11" borderId="0" xfId="1" applyNumberFormat="1" applyFont="1" applyFill="1" applyAlignment="1">
      <alignment horizontal="center" vertical="center"/>
    </xf>
    <xf numFmtId="9" fontId="34" fillId="23" borderId="1" xfId="0"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 fontId="12" fillId="0" borderId="0" xfId="0" applyNumberFormat="1" applyFont="1" applyAlignment="1">
      <alignment horizontal="center" vertical="center"/>
    </xf>
    <xf numFmtId="0" fontId="36" fillId="2" borderId="0" xfId="2" applyFont="1" applyFill="1" applyAlignment="1">
      <alignment horizontal="center" wrapText="1"/>
    </xf>
    <xf numFmtId="0" fontId="36" fillId="2" borderId="0" xfId="2" applyFont="1" applyFill="1" applyAlignment="1">
      <alignment wrapText="1"/>
    </xf>
    <xf numFmtId="0" fontId="37" fillId="25" borderId="21" xfId="2" applyFont="1" applyFill="1" applyBorder="1" applyAlignment="1">
      <alignment horizontal="center" vertical="center" wrapText="1"/>
    </xf>
    <xf numFmtId="0" fontId="38" fillId="25" borderId="0" xfId="2" applyFont="1" applyFill="1" applyAlignment="1">
      <alignment horizontal="center" vertical="center" wrapText="1"/>
    </xf>
    <xf numFmtId="49" fontId="39" fillId="3" borderId="24" xfId="1" applyNumberFormat="1" applyFont="1" applyFill="1" applyBorder="1" applyAlignment="1">
      <alignment horizontal="center" vertical="center" wrapText="1"/>
    </xf>
    <xf numFmtId="49" fontId="39" fillId="25" borderId="25" xfId="1" applyNumberFormat="1" applyFont="1" applyFill="1" applyBorder="1" applyAlignment="1">
      <alignment horizontal="center" vertical="center" wrapText="1"/>
    </xf>
    <xf numFmtId="164" fontId="29" fillId="0" borderId="28" xfId="2" applyNumberFormat="1" applyFont="1" applyBorder="1" applyAlignment="1">
      <alignment horizontal="center" vertical="center"/>
    </xf>
    <xf numFmtId="164" fontId="29" fillId="0" borderId="29" xfId="2" applyNumberFormat="1" applyFont="1" applyBorder="1" applyAlignment="1">
      <alignment horizontal="center" vertical="center"/>
    </xf>
    <xf numFmtId="164" fontId="35" fillId="25" borderId="29" xfId="2" applyNumberFormat="1" applyFill="1" applyBorder="1" applyAlignment="1">
      <alignment wrapText="1"/>
    </xf>
    <xf numFmtId="164" fontId="35" fillId="25" borderId="29" xfId="2" applyNumberFormat="1" applyFill="1" applyBorder="1" applyAlignment="1">
      <alignment horizontal="center" wrapText="1"/>
    </xf>
    <xf numFmtId="0" fontId="35" fillId="0" borderId="0" xfId="2" applyAlignment="1">
      <alignment horizontal="center" wrapText="1"/>
    </xf>
    <xf numFmtId="0" fontId="35" fillId="0" borderId="0" xfId="2" applyAlignment="1">
      <alignment wrapText="1"/>
    </xf>
    <xf numFmtId="0" fontId="36" fillId="2" borderId="0" xfId="2" applyFont="1" applyFill="1"/>
    <xf numFmtId="0" fontId="35" fillId="0" borderId="0" xfId="2"/>
    <xf numFmtId="0" fontId="36" fillId="2" borderId="0" xfId="2" applyFont="1" applyFill="1" applyAlignment="1">
      <alignment horizontal="center" vertical="center" wrapText="1"/>
    </xf>
    <xf numFmtId="0" fontId="35" fillId="0" borderId="0" xfId="2" applyAlignment="1">
      <alignment horizontal="center" vertical="center" wrapText="1"/>
    </xf>
    <xf numFmtId="0" fontId="29" fillId="2" borderId="0" xfId="2" applyFont="1" applyFill="1" applyAlignment="1">
      <alignment horizontal="center" wrapText="1"/>
    </xf>
    <xf numFmtId="164" fontId="35" fillId="0" borderId="28" xfId="2" applyNumberFormat="1" applyBorder="1" applyAlignment="1">
      <alignment horizontal="center" vertical="center" wrapText="1"/>
    </xf>
    <xf numFmtId="164" fontId="35" fillId="0" borderId="29" xfId="2" applyNumberFormat="1" applyBorder="1" applyAlignment="1">
      <alignment horizontal="center" vertical="center" wrapText="1"/>
    </xf>
    <xf numFmtId="164" fontId="35" fillId="0" borderId="30" xfId="2" applyNumberFormat="1" applyBorder="1" applyAlignment="1">
      <alignment horizontal="center" vertical="center" wrapText="1"/>
    </xf>
    <xf numFmtId="164" fontId="26" fillId="0" borderId="29" xfId="2" applyNumberFormat="1" applyFont="1" applyBorder="1" applyAlignment="1">
      <alignment horizontal="center" vertical="center" wrapText="1"/>
    </xf>
    <xf numFmtId="165" fontId="35"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1" fillId="26" borderId="0" xfId="0" applyFont="1" applyFill="1" applyAlignment="1">
      <alignment horizontal="center" vertical="center"/>
    </xf>
    <xf numFmtId="0" fontId="43" fillId="27" borderId="41" xfId="0" applyFont="1" applyFill="1" applyBorder="1" applyAlignment="1">
      <alignment vertical="center"/>
    </xf>
    <xf numFmtId="164" fontId="18" fillId="27" borderId="41" xfId="0" applyNumberFormat="1" applyFont="1" applyFill="1" applyBorder="1" applyAlignment="1">
      <alignment horizontal="center" vertical="center"/>
    </xf>
    <xf numFmtId="0" fontId="29" fillId="0" borderId="0" xfId="0" applyFont="1" applyAlignment="1">
      <alignment horizontal="center" vertical="center"/>
    </xf>
    <xf numFmtId="0" fontId="9" fillId="15" borderId="41" xfId="0" applyFont="1" applyFill="1" applyBorder="1" applyAlignment="1">
      <alignment horizontal="right" vertical="center"/>
    </xf>
    <xf numFmtId="164" fontId="9" fillId="15" borderId="41" xfId="1" applyNumberFormat="1" applyFont="1" applyFill="1" applyBorder="1" applyAlignment="1">
      <alignment horizontal="center" vertical="center"/>
    </xf>
    <xf numFmtId="9" fontId="29" fillId="31" borderId="41" xfId="0" applyNumberFormat="1" applyFont="1" applyFill="1" applyBorder="1" applyAlignment="1">
      <alignment horizontal="center" vertical="center"/>
    </xf>
    <xf numFmtId="164" fontId="9" fillId="3" borderId="41" xfId="0" applyNumberFormat="1" applyFont="1" applyFill="1" applyBorder="1" applyAlignment="1">
      <alignment horizontal="center"/>
    </xf>
    <xf numFmtId="0" fontId="32" fillId="14" borderId="41" xfId="0" applyFont="1" applyFill="1" applyBorder="1" applyAlignment="1">
      <alignment horizontal="right" vertical="center"/>
    </xf>
    <xf numFmtId="164" fontId="32" fillId="14" borderId="41" xfId="1" applyNumberFormat="1" applyFont="1" applyFill="1" applyBorder="1" applyAlignment="1">
      <alignment horizontal="center" vertical="center"/>
    </xf>
    <xf numFmtId="164" fontId="9" fillId="15" borderId="41" xfId="0" applyNumberFormat="1" applyFont="1" applyFill="1" applyBorder="1" applyAlignment="1">
      <alignment horizontal="center"/>
    </xf>
    <xf numFmtId="164" fontId="32"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9" fillId="31" borderId="41" xfId="0" applyFont="1" applyFill="1" applyBorder="1" applyAlignment="1">
      <alignment horizontal="right"/>
    </xf>
    <xf numFmtId="164" fontId="8"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9" fillId="32" borderId="41" xfId="0" applyNumberFormat="1" applyFont="1" applyFill="1" applyBorder="1" applyAlignment="1">
      <alignment horizontal="right"/>
    </xf>
    <xf numFmtId="9" fontId="0" fillId="10" borderId="41" xfId="1" applyFont="1" applyFill="1" applyBorder="1" applyAlignment="1">
      <alignment horizontal="center"/>
    </xf>
    <xf numFmtId="164" fontId="29" fillId="0" borderId="41" xfId="0" applyNumberFormat="1" applyFont="1" applyBorder="1" applyAlignment="1">
      <alignment horizontal="center" vertical="center"/>
    </xf>
    <xf numFmtId="9" fontId="41" fillId="26" borderId="2" xfId="1" applyFont="1" applyFill="1" applyBorder="1" applyAlignment="1">
      <alignment horizontal="center" vertical="center"/>
    </xf>
    <xf numFmtId="164" fontId="41" fillId="26" borderId="2" xfId="1" applyNumberFormat="1" applyFont="1" applyFill="1" applyBorder="1" applyAlignment="1">
      <alignment horizontal="center" vertical="center"/>
    </xf>
    <xf numFmtId="0" fontId="44" fillId="26" borderId="0" xfId="0" applyFont="1" applyFill="1"/>
    <xf numFmtId="0" fontId="0" fillId="0" borderId="41" xfId="0" applyBorder="1"/>
    <xf numFmtId="9" fontId="29" fillId="0" borderId="41" xfId="0" applyNumberFormat="1" applyFont="1" applyBorder="1" applyAlignment="1">
      <alignment horizontal="center" vertical="center"/>
    </xf>
    <xf numFmtId="0" fontId="9" fillId="0" borderId="0" xfId="0" applyFont="1"/>
    <xf numFmtId="0" fontId="9" fillId="29" borderId="41" xfId="0" applyFont="1" applyFill="1" applyBorder="1"/>
    <xf numFmtId="164" fontId="9" fillId="29" borderId="41" xfId="0" applyNumberFormat="1" applyFont="1" applyFill="1" applyBorder="1" applyAlignment="1">
      <alignment horizontal="center"/>
    </xf>
    <xf numFmtId="0" fontId="38"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7" fillId="25" borderId="42" xfId="2" applyFont="1" applyFill="1" applyBorder="1" applyAlignment="1">
      <alignment horizontal="center" vertical="center" wrapText="1"/>
    </xf>
    <xf numFmtId="0" fontId="27" fillId="25" borderId="50" xfId="2" applyFont="1" applyFill="1" applyBorder="1" applyAlignment="1">
      <alignment horizontal="center" vertical="center" wrapText="1"/>
    </xf>
    <xf numFmtId="49" fontId="26" fillId="36" borderId="47" xfId="1" applyNumberFormat="1" applyFont="1" applyFill="1" applyBorder="1" applyAlignment="1">
      <alignment horizontal="center" vertical="center" wrapText="1"/>
    </xf>
    <xf numFmtId="49" fontId="39" fillId="36" borderId="24" xfId="1" applyNumberFormat="1" applyFont="1" applyFill="1" applyBorder="1" applyAlignment="1">
      <alignment horizontal="center" vertical="center" wrapText="1"/>
    </xf>
    <xf numFmtId="49" fontId="26" fillId="37" borderId="54" xfId="1" applyNumberFormat="1" applyFont="1" applyFill="1" applyBorder="1" applyAlignment="1">
      <alignment horizontal="center" vertical="center" wrapText="1"/>
    </xf>
    <xf numFmtId="49" fontId="39" fillId="37" borderId="47" xfId="1" applyNumberFormat="1" applyFont="1" applyFill="1" applyBorder="1" applyAlignment="1">
      <alignment horizontal="center" vertical="center" wrapText="1"/>
    </xf>
    <xf numFmtId="49" fontId="39" fillId="37" borderId="24" xfId="1" applyNumberFormat="1" applyFont="1" applyFill="1" applyBorder="1" applyAlignment="1">
      <alignment horizontal="center" vertical="center" wrapText="1"/>
    </xf>
    <xf numFmtId="49" fontId="39" fillId="37" borderId="26" xfId="1" applyNumberFormat="1" applyFont="1" applyFill="1" applyBorder="1" applyAlignment="1">
      <alignment horizontal="center" vertical="center" wrapText="1"/>
    </xf>
    <xf numFmtId="49" fontId="26" fillId="38" borderId="46" xfId="1" applyNumberFormat="1" applyFont="1" applyFill="1" applyBorder="1" applyAlignment="1">
      <alignment horizontal="center" vertical="center" wrapText="1"/>
    </xf>
    <xf numFmtId="49" fontId="39" fillId="38" borderId="24" xfId="1" applyNumberFormat="1" applyFont="1" applyFill="1" applyBorder="1" applyAlignment="1">
      <alignment horizontal="center" vertical="center" wrapText="1"/>
    </xf>
    <xf numFmtId="49" fontId="39" fillId="38" borderId="26" xfId="1" applyNumberFormat="1" applyFont="1" applyFill="1" applyBorder="1" applyAlignment="1">
      <alignment horizontal="center" vertical="center" wrapText="1"/>
    </xf>
    <xf numFmtId="49" fontId="26" fillId="24" borderId="54" xfId="1" applyNumberFormat="1" applyFont="1" applyFill="1" applyBorder="1" applyAlignment="1">
      <alignment horizontal="center" vertical="center" wrapText="1"/>
    </xf>
    <xf numFmtId="49" fontId="39" fillId="3" borderId="47" xfId="1" applyNumberFormat="1" applyFont="1" applyFill="1" applyBorder="1" applyAlignment="1">
      <alignment horizontal="center" vertical="center" wrapText="1"/>
    </xf>
    <xf numFmtId="49" fontId="26" fillId="39" borderId="54" xfId="1" applyNumberFormat="1" applyFont="1" applyFill="1" applyBorder="1" applyAlignment="1">
      <alignment horizontal="center" vertical="center" wrapText="1"/>
    </xf>
    <xf numFmtId="49" fontId="39" fillId="39" borderId="47" xfId="1" applyNumberFormat="1" applyFont="1" applyFill="1" applyBorder="1" applyAlignment="1">
      <alignment horizontal="center" vertical="center" wrapText="1"/>
    </xf>
    <xf numFmtId="49" fontId="39" fillId="39" borderId="24" xfId="1" applyNumberFormat="1" applyFont="1" applyFill="1" applyBorder="1" applyAlignment="1">
      <alignment horizontal="center" vertical="center" wrapText="1"/>
    </xf>
    <xf numFmtId="49" fontId="39" fillId="39" borderId="25" xfId="1" applyNumberFormat="1" applyFont="1" applyFill="1" applyBorder="1" applyAlignment="1">
      <alignment horizontal="center" vertical="center" wrapText="1"/>
    </xf>
    <xf numFmtId="9" fontId="45" fillId="35" borderId="25" xfId="1" applyFont="1" applyFill="1" applyBorder="1" applyAlignment="1">
      <alignment horizontal="center" vertical="center" wrapText="1"/>
    </xf>
    <xf numFmtId="9" fontId="29" fillId="25" borderId="55" xfId="1" applyFont="1" applyFill="1" applyBorder="1" applyAlignment="1">
      <alignment horizontal="center" vertical="center" wrapText="1"/>
    </xf>
    <xf numFmtId="49" fontId="32" fillId="25" borderId="56" xfId="1" applyNumberFormat="1" applyFont="1" applyFill="1" applyBorder="1" applyAlignment="1">
      <alignment horizontal="center" vertical="center" wrapText="1"/>
    </xf>
    <xf numFmtId="49" fontId="36" fillId="25" borderId="57" xfId="1" applyNumberFormat="1" applyFont="1" applyFill="1" applyBorder="1" applyAlignment="1">
      <alignment horizontal="center" vertical="center" wrapText="1"/>
    </xf>
    <xf numFmtId="164" fontId="24" fillId="29" borderId="58" xfId="2" applyNumberFormat="1" applyFont="1" applyFill="1" applyBorder="1" applyAlignment="1">
      <alignment horizontal="center" vertical="center"/>
    </xf>
    <xf numFmtId="164" fontId="18" fillId="0" borderId="27" xfId="1" applyNumberFormat="1" applyFont="1" applyFill="1" applyBorder="1" applyAlignment="1">
      <alignment horizontal="center" vertical="center"/>
    </xf>
    <xf numFmtId="164" fontId="9" fillId="36" borderId="59" xfId="2" applyNumberFormat="1" applyFont="1" applyFill="1" applyBorder="1" applyAlignment="1">
      <alignment horizontal="center" vertical="center"/>
    </xf>
    <xf numFmtId="164" fontId="26" fillId="37" borderId="27" xfId="2" applyNumberFormat="1" applyFont="1" applyFill="1" applyBorder="1" applyAlignment="1">
      <alignment horizontal="center" vertical="center" wrapText="1"/>
    </xf>
    <xf numFmtId="164" fontId="35" fillId="0" borderId="60" xfId="2" applyNumberFormat="1" applyBorder="1" applyAlignment="1">
      <alignment horizontal="center" vertical="center" wrapText="1"/>
    </xf>
    <xf numFmtId="164" fontId="26" fillId="38" borderId="27" xfId="2" applyNumberFormat="1" applyFont="1" applyFill="1" applyBorder="1" applyAlignment="1">
      <alignment horizontal="center" vertical="center" wrapText="1"/>
    </xf>
    <xf numFmtId="164" fontId="26" fillId="24" borderId="27" xfId="2" applyNumberFormat="1" applyFont="1" applyFill="1" applyBorder="1" applyAlignment="1">
      <alignment horizontal="center" vertical="center" wrapText="1"/>
    </xf>
    <xf numFmtId="164" fontId="35" fillId="0" borderId="61" xfId="2" applyNumberFormat="1" applyBorder="1" applyAlignment="1">
      <alignment horizontal="center" vertical="center" wrapText="1"/>
    </xf>
    <xf numFmtId="164" fontId="26" fillId="39" borderId="27" xfId="2" applyNumberFormat="1" applyFont="1" applyFill="1" applyBorder="1" applyAlignment="1">
      <alignment horizontal="center" vertical="center" wrapText="1"/>
    </xf>
    <xf numFmtId="164" fontId="18" fillId="3" borderId="27" xfId="1" applyNumberFormat="1" applyFont="1" applyFill="1" applyBorder="1" applyAlignment="1">
      <alignment horizontal="center" vertical="center"/>
    </xf>
    <xf numFmtId="164" fontId="29" fillId="3" borderId="28" xfId="2" applyNumberFormat="1" applyFont="1" applyFill="1" applyBorder="1" applyAlignment="1">
      <alignment horizontal="center" vertical="center"/>
    </xf>
    <xf numFmtId="164" fontId="29" fillId="3" borderId="29" xfId="2" applyNumberFormat="1" applyFont="1" applyFill="1" applyBorder="1" applyAlignment="1">
      <alignment horizontal="center" vertical="center"/>
    </xf>
    <xf numFmtId="164" fontId="35" fillId="3" borderId="28" xfId="2" applyNumberFormat="1" applyFill="1" applyBorder="1" applyAlignment="1">
      <alignment horizontal="center" vertical="center" wrapText="1"/>
    </xf>
    <xf numFmtId="164" fontId="35" fillId="3" borderId="30" xfId="2" applyNumberFormat="1" applyFill="1" applyBorder="1" applyAlignment="1">
      <alignment horizontal="center" vertical="center" wrapText="1"/>
    </xf>
    <xf numFmtId="164" fontId="35" fillId="3" borderId="29" xfId="2" applyNumberFormat="1" applyFill="1" applyBorder="1" applyAlignment="1">
      <alignment horizontal="center" vertical="center" wrapText="1"/>
    </xf>
    <xf numFmtId="164" fontId="35" fillId="3" borderId="60" xfId="2" applyNumberFormat="1" applyFill="1" applyBorder="1" applyAlignment="1">
      <alignment horizontal="center" vertical="center" wrapText="1"/>
    </xf>
    <xf numFmtId="164" fontId="35" fillId="3" borderId="61" xfId="2" applyNumberFormat="1" applyFill="1" applyBorder="1" applyAlignment="1">
      <alignment horizontal="center" vertical="center" wrapText="1"/>
    </xf>
    <xf numFmtId="164" fontId="26" fillId="3" borderId="29" xfId="2" applyNumberFormat="1" applyFont="1" applyFill="1" applyBorder="1" applyAlignment="1">
      <alignment horizontal="center" vertical="center" wrapText="1"/>
    </xf>
    <xf numFmtId="165" fontId="35" fillId="3" borderId="29" xfId="2" applyNumberFormat="1" applyFill="1" applyBorder="1" applyAlignment="1">
      <alignment horizontal="center" vertical="center" wrapText="1"/>
    </xf>
    <xf numFmtId="164" fontId="24" fillId="29" borderId="23" xfId="2" applyNumberFormat="1" applyFont="1" applyFill="1" applyBorder="1" applyAlignment="1">
      <alignment horizontal="center" vertical="center"/>
    </xf>
    <xf numFmtId="164" fontId="9" fillId="36" borderId="62" xfId="2" applyNumberFormat="1" applyFont="1" applyFill="1" applyBorder="1" applyAlignment="1">
      <alignment horizontal="center" vertical="center"/>
    </xf>
    <xf numFmtId="164" fontId="29" fillId="3" borderId="9" xfId="2" applyNumberFormat="1" applyFont="1" applyFill="1" applyBorder="1" applyAlignment="1">
      <alignment horizontal="center" vertical="center"/>
    </xf>
    <xf numFmtId="164" fontId="29" fillId="3" borderId="63" xfId="2" applyNumberFormat="1" applyFont="1" applyFill="1" applyBorder="1" applyAlignment="1">
      <alignment horizontal="center" vertical="center"/>
    </xf>
    <xf numFmtId="164" fontId="35" fillId="3" borderId="9" xfId="2" applyNumberFormat="1" applyFill="1" applyBorder="1" applyAlignment="1">
      <alignment horizontal="center" vertical="center" wrapText="1"/>
    </xf>
    <xf numFmtId="164" fontId="35" fillId="3" borderId="1" xfId="2" applyNumberFormat="1" applyFill="1" applyBorder="1" applyAlignment="1">
      <alignment horizontal="center" vertical="center" wrapText="1"/>
    </xf>
    <xf numFmtId="0" fontId="46" fillId="0" borderId="40" xfId="0" applyFont="1" applyBorder="1" applyAlignment="1">
      <alignment horizontal="left" vertical="center"/>
    </xf>
    <xf numFmtId="164" fontId="24" fillId="29" borderId="40" xfId="2" applyNumberFormat="1" applyFont="1" applyFill="1" applyBorder="1" applyAlignment="1">
      <alignment horizontal="center" vertical="center"/>
    </xf>
    <xf numFmtId="164" fontId="46" fillId="27" borderId="64" xfId="2" applyNumberFormat="1" applyFont="1" applyFill="1" applyBorder="1" applyAlignment="1">
      <alignment horizontal="center" vertical="center" wrapText="1"/>
    </xf>
    <xf numFmtId="164" fontId="46" fillId="36" borderId="54" xfId="2" applyNumberFormat="1" applyFont="1" applyFill="1" applyBorder="1" applyAlignment="1">
      <alignment horizontal="center" vertical="center" wrapText="1"/>
    </xf>
    <xf numFmtId="164" fontId="46" fillId="29" borderId="65" xfId="2" applyNumberFormat="1" applyFont="1" applyFill="1" applyBorder="1" applyAlignment="1">
      <alignment horizontal="center" vertical="center" wrapText="1"/>
    </xf>
    <xf numFmtId="164" fontId="46" fillId="29" borderId="66" xfId="2" applyNumberFormat="1" applyFont="1" applyFill="1" applyBorder="1" applyAlignment="1">
      <alignment horizontal="center" vertical="center" wrapText="1"/>
    </xf>
    <xf numFmtId="164" fontId="46" fillId="29" borderId="67" xfId="2" applyNumberFormat="1" applyFont="1" applyFill="1" applyBorder="1" applyAlignment="1">
      <alignment horizontal="center" vertical="center" wrapText="1"/>
    </xf>
    <xf numFmtId="164" fontId="46" fillId="37" borderId="68" xfId="2" applyNumberFormat="1" applyFont="1" applyFill="1" applyBorder="1" applyAlignment="1">
      <alignment horizontal="center" vertical="center" wrapText="1"/>
    </xf>
    <xf numFmtId="164" fontId="46" fillId="29" borderId="69" xfId="2" applyNumberFormat="1" applyFont="1" applyFill="1" applyBorder="1" applyAlignment="1">
      <alignment horizontal="center" vertical="center" wrapText="1"/>
    </xf>
    <xf numFmtId="164" fontId="46" fillId="29" borderId="70" xfId="2" applyNumberFormat="1" applyFont="1" applyFill="1" applyBorder="1" applyAlignment="1">
      <alignment horizontal="center" vertical="center" wrapText="1"/>
    </xf>
    <xf numFmtId="164" fontId="46" fillId="29" borderId="71" xfId="2" applyNumberFormat="1" applyFont="1" applyFill="1" applyBorder="1" applyAlignment="1">
      <alignment horizontal="center" vertical="center" wrapText="1"/>
    </xf>
    <xf numFmtId="164" fontId="46" fillId="38" borderId="72" xfId="2" applyNumberFormat="1" applyFont="1" applyFill="1" applyBorder="1" applyAlignment="1">
      <alignment horizontal="center" vertical="center" wrapText="1"/>
    </xf>
    <xf numFmtId="164" fontId="46" fillId="24" borderId="68" xfId="2" applyNumberFormat="1" applyFont="1" applyFill="1" applyBorder="1" applyAlignment="1">
      <alignment horizontal="center" vertical="center" wrapText="1"/>
    </xf>
    <xf numFmtId="164" fontId="46" fillId="29" borderId="31" xfId="2" applyNumberFormat="1" applyFont="1" applyFill="1" applyBorder="1" applyAlignment="1">
      <alignment horizontal="center" vertical="center" wrapText="1"/>
    </xf>
    <xf numFmtId="164" fontId="46" fillId="29" borderId="32" xfId="2" applyNumberFormat="1" applyFont="1" applyFill="1" applyBorder="1" applyAlignment="1">
      <alignment horizontal="center" vertical="center" wrapText="1"/>
    </xf>
    <xf numFmtId="164" fontId="46" fillId="29" borderId="33" xfId="2" applyNumberFormat="1" applyFont="1" applyFill="1" applyBorder="1" applyAlignment="1">
      <alignment horizontal="center" vertical="center" wrapText="1"/>
    </xf>
    <xf numFmtId="164" fontId="46" fillId="39" borderId="68" xfId="2" applyNumberFormat="1" applyFont="1" applyFill="1" applyBorder="1" applyAlignment="1">
      <alignment horizontal="center" vertical="center" wrapText="1"/>
    </xf>
    <xf numFmtId="164" fontId="46" fillId="25" borderId="32" xfId="2" applyNumberFormat="1" applyFont="1" applyFill="1" applyBorder="1" applyAlignment="1">
      <alignment horizontal="center" vertical="center" wrapText="1"/>
    </xf>
    <xf numFmtId="165" fontId="46" fillId="29" borderId="32" xfId="2" applyNumberFormat="1" applyFont="1" applyFill="1" applyBorder="1" applyAlignment="1">
      <alignment horizontal="center" vertical="center" wrapText="1"/>
    </xf>
    <xf numFmtId="0" fontId="47" fillId="0" borderId="0" xfId="0" applyFont="1"/>
    <xf numFmtId="0" fontId="27" fillId="34" borderId="6" xfId="0" applyFont="1" applyFill="1" applyBorder="1" applyAlignment="1">
      <alignment vertical="center"/>
    </xf>
    <xf numFmtId="0" fontId="25" fillId="34" borderId="7" xfId="0" applyFont="1" applyFill="1" applyBorder="1" applyAlignment="1">
      <alignment horizontal="center"/>
    </xf>
    <xf numFmtId="0" fontId="48" fillId="34" borderId="0" xfId="0" applyFont="1" applyFill="1" applyAlignment="1">
      <alignment horizontal="center" vertical="center"/>
    </xf>
    <xf numFmtId="164" fontId="21" fillId="34" borderId="73" xfId="1" applyNumberFormat="1" applyFont="1" applyFill="1" applyBorder="1" applyAlignment="1">
      <alignment horizontal="center" vertical="center"/>
    </xf>
    <xf numFmtId="0" fontId="49" fillId="15" borderId="0" xfId="0" applyFont="1" applyFill="1" applyAlignment="1">
      <alignment vertical="center"/>
    </xf>
    <xf numFmtId="17" fontId="50" fillId="11" borderId="0" xfId="0" applyNumberFormat="1" applyFont="1" applyFill="1" applyAlignment="1">
      <alignment horizontal="center" vertical="center"/>
    </xf>
    <xf numFmtId="0" fontId="0" fillId="11" borderId="74" xfId="0" applyFill="1" applyBorder="1" applyAlignment="1">
      <alignment horizontal="center" vertical="center"/>
    </xf>
    <xf numFmtId="20" fontId="51" fillId="0" borderId="32" xfId="0" applyNumberFormat="1" applyFont="1" applyBorder="1" applyAlignment="1">
      <alignment horizontal="center"/>
    </xf>
    <xf numFmtId="20" fontId="51" fillId="0" borderId="34" xfId="0" applyNumberFormat="1" applyFont="1" applyBorder="1" applyAlignment="1">
      <alignment horizontal="center"/>
    </xf>
    <xf numFmtId="0" fontId="17" fillId="14" borderId="0" xfId="0" applyFont="1" applyFill="1" applyAlignment="1">
      <alignment horizontal="right" vertical="center"/>
    </xf>
    <xf numFmtId="164" fontId="24" fillId="0" borderId="0" xfId="0" applyNumberFormat="1" applyFont="1" applyAlignment="1">
      <alignment horizontal="center"/>
    </xf>
    <xf numFmtId="164" fontId="17" fillId="8" borderId="29" xfId="0" applyNumberFormat="1" applyFont="1" applyFill="1" applyBorder="1" applyAlignment="1">
      <alignment horizontal="center" vertical="center"/>
    </xf>
    <xf numFmtId="9" fontId="52" fillId="11" borderId="18" xfId="1" applyFont="1" applyFill="1" applyBorder="1" applyAlignment="1">
      <alignment horizontal="right" vertical="center"/>
    </xf>
    <xf numFmtId="164" fontId="52" fillId="11" borderId="2" xfId="1" applyNumberFormat="1" applyFont="1" applyFill="1" applyBorder="1" applyAlignment="1">
      <alignment horizontal="center" vertical="center"/>
    </xf>
    <xf numFmtId="9" fontId="52" fillId="0" borderId="0" xfId="1" applyFont="1" applyAlignment="1">
      <alignment horizontal="center"/>
    </xf>
    <xf numFmtId="164" fontId="52" fillId="11" borderId="41" xfId="1"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 fontId="12" fillId="21" borderId="18" xfId="1" applyNumberFormat="1" applyFont="1" applyFill="1" applyBorder="1" applyAlignment="1">
      <alignment horizontal="center" vertical="center"/>
    </xf>
    <xf numFmtId="9" fontId="7" fillId="2" borderId="41" xfId="1" applyFont="1" applyFill="1" applyBorder="1" applyAlignment="1">
      <alignment horizontal="center" vertical="center"/>
    </xf>
    <xf numFmtId="9" fontId="7" fillId="3" borderId="41" xfId="1" applyFont="1" applyFill="1" applyBorder="1" applyAlignment="1">
      <alignment horizontal="center" vertical="center"/>
    </xf>
    <xf numFmtId="1" fontId="15" fillId="0" borderId="41" xfId="0" applyNumberFormat="1" applyFont="1" applyBorder="1" applyAlignment="1">
      <alignment horizontal="center"/>
    </xf>
    <xf numFmtId="164" fontId="17" fillId="8" borderId="41" xfId="0" applyNumberFormat="1" applyFont="1" applyFill="1" applyBorder="1" applyAlignment="1">
      <alignment horizontal="center" vertical="center"/>
    </xf>
    <xf numFmtId="0" fontId="17" fillId="5" borderId="0" xfId="0" applyFont="1" applyFill="1" applyAlignment="1">
      <alignment horizontal="right" vertical="center"/>
    </xf>
    <xf numFmtId="9" fontId="53" fillId="3" borderId="1" xfId="0" applyNumberFormat="1" applyFont="1" applyFill="1" applyBorder="1" applyAlignment="1">
      <alignment horizontal="center" vertical="center"/>
    </xf>
    <xf numFmtId="9" fontId="24" fillId="22" borderId="41" xfId="0" applyNumberFormat="1" applyFont="1" applyFill="1" applyBorder="1" applyAlignment="1">
      <alignment horizontal="center" vertical="center"/>
    </xf>
    <xf numFmtId="0" fontId="43" fillId="0" borderId="0" xfId="0" applyFont="1"/>
    <xf numFmtId="0" fontId="43" fillId="0" borderId="0" xfId="0" applyFont="1" applyAlignment="1">
      <alignment horizontal="left" vertical="top"/>
    </xf>
    <xf numFmtId="9" fontId="12" fillId="21" borderId="18" xfId="1" applyFont="1" applyFill="1" applyBorder="1" applyAlignment="1">
      <alignment horizontal="center" vertical="center"/>
    </xf>
    <xf numFmtId="0" fontId="38" fillId="20" borderId="10" xfId="0" applyFont="1" applyFill="1" applyBorder="1" applyAlignment="1">
      <alignment horizontal="right" vertical="center"/>
    </xf>
    <xf numFmtId="9" fontId="9" fillId="10" borderId="41" xfId="0" applyNumberFormat="1" applyFont="1" applyFill="1" applyBorder="1" applyAlignment="1">
      <alignment horizontal="center" vertical="center"/>
    </xf>
    <xf numFmtId="1" fontId="12" fillId="2" borderId="18" xfId="1" applyNumberFormat="1" applyFont="1" applyFill="1" applyBorder="1" applyAlignment="1">
      <alignment horizontal="center" vertical="center"/>
    </xf>
    <xf numFmtId="1" fontId="12" fillId="0" borderId="18" xfId="1" applyNumberFormat="1" applyFont="1" applyFill="1" applyBorder="1" applyAlignment="1">
      <alignment horizontal="center" vertical="center"/>
    </xf>
    <xf numFmtId="20" fontId="7" fillId="0" borderId="41" xfId="1" applyNumberFormat="1" applyFont="1" applyFill="1" applyBorder="1" applyAlignment="1">
      <alignment horizontal="center" vertical="center"/>
    </xf>
    <xf numFmtId="165" fontId="7" fillId="3" borderId="41" xfId="1" applyNumberFormat="1" applyFont="1" applyFill="1" applyBorder="1" applyAlignment="1">
      <alignment horizontal="center" vertical="center"/>
    </xf>
    <xf numFmtId="9" fontId="7" fillId="0" borderId="41" xfId="1" applyFont="1" applyFill="1" applyBorder="1" applyAlignment="1">
      <alignment horizontal="center" vertical="center"/>
    </xf>
    <xf numFmtId="1" fontId="30" fillId="0" borderId="75" xfId="1" applyNumberFormat="1" applyFont="1" applyFill="1" applyBorder="1" applyAlignment="1">
      <alignment horizontal="center" vertical="center"/>
    </xf>
    <xf numFmtId="0" fontId="17" fillId="26" borderId="76" xfId="0" applyFont="1" applyFill="1" applyBorder="1" applyAlignment="1">
      <alignment vertical="center"/>
    </xf>
    <xf numFmtId="0" fontId="25" fillId="26" borderId="77" xfId="0" applyFont="1" applyFill="1" applyBorder="1" applyAlignment="1">
      <alignment horizontal="center"/>
    </xf>
    <xf numFmtId="164" fontId="21" fillId="26" borderId="78" xfId="1" applyNumberFormat="1" applyFont="1" applyFill="1" applyBorder="1" applyAlignment="1">
      <alignment horizontal="center" vertical="center"/>
    </xf>
    <xf numFmtId="164" fontId="21" fillId="26" borderId="41" xfId="0" applyNumberFormat="1" applyFont="1" applyFill="1" applyBorder="1" applyAlignment="1">
      <alignment horizontal="center" vertical="center"/>
    </xf>
    <xf numFmtId="0" fontId="11" fillId="0" borderId="41" xfId="0" applyFont="1" applyBorder="1" applyAlignment="1">
      <alignment horizontal="center" vertical="center"/>
    </xf>
    <xf numFmtId="17" fontId="18" fillId="0" borderId="41" xfId="0" applyNumberFormat="1" applyFont="1" applyBorder="1" applyAlignment="1">
      <alignment horizontal="left" vertical="center"/>
    </xf>
    <xf numFmtId="17" fontId="18" fillId="0" borderId="41" xfId="0" applyNumberFormat="1" applyFont="1" applyBorder="1" applyAlignment="1">
      <alignment horizontal="center" vertical="center"/>
    </xf>
    <xf numFmtId="17" fontId="10" fillId="0" borderId="41" xfId="0" applyNumberFormat="1" applyFont="1" applyBorder="1" applyAlignment="1">
      <alignment horizontal="center" vertical="center"/>
    </xf>
    <xf numFmtId="164" fontId="18" fillId="0" borderId="41" xfId="0" applyNumberFormat="1" applyFont="1" applyBorder="1" applyAlignment="1">
      <alignment horizontal="center" vertical="center"/>
    </xf>
    <xf numFmtId="0" fontId="29" fillId="0" borderId="41" xfId="0" applyFont="1" applyBorder="1" applyAlignment="1">
      <alignment horizontal="center" vertical="center"/>
    </xf>
    <xf numFmtId="164" fontId="8" fillId="0" borderId="41" xfId="1" applyNumberFormat="1" applyFont="1" applyFill="1" applyBorder="1" applyAlignment="1">
      <alignment horizontal="center" vertical="center"/>
    </xf>
    <xf numFmtId="9" fontId="8" fillId="0" borderId="41" xfId="1" applyFont="1" applyFill="1" applyBorder="1" applyAlignment="1">
      <alignment horizontal="right" vertical="center"/>
    </xf>
    <xf numFmtId="9" fontId="8" fillId="0" borderId="41" xfId="1" applyFont="1" applyFill="1" applyBorder="1" applyAlignment="1">
      <alignment horizontal="center"/>
    </xf>
    <xf numFmtId="0" fontId="9" fillId="0" borderId="41" xfId="0" applyFont="1" applyBorder="1" applyAlignment="1">
      <alignment horizontal="right"/>
    </xf>
    <xf numFmtId="0" fontId="13" fillId="0" borderId="41" xfId="0" applyFont="1" applyBorder="1" applyAlignment="1">
      <alignment horizontal="center" vertical="center"/>
    </xf>
    <xf numFmtId="164" fontId="18"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8" fillId="0" borderId="41" xfId="0" applyFont="1" applyBorder="1"/>
    <xf numFmtId="0" fontId="9" fillId="0" borderId="41" xfId="0" applyFont="1" applyBorder="1" applyAlignment="1">
      <alignment horizontal="center"/>
    </xf>
    <xf numFmtId="9" fontId="9" fillId="0" borderId="41" xfId="0" applyNumberFormat="1" applyFont="1" applyBorder="1" applyAlignment="1">
      <alignment horizontal="center"/>
    </xf>
    <xf numFmtId="0" fontId="39" fillId="32" borderId="41" xfId="0" applyFont="1" applyFill="1" applyBorder="1" applyAlignment="1">
      <alignment horizontal="right"/>
    </xf>
    <xf numFmtId="17" fontId="39" fillId="32" borderId="41" xfId="0" applyNumberFormat="1" applyFont="1" applyFill="1" applyBorder="1" applyAlignment="1">
      <alignment horizontal="right"/>
    </xf>
    <xf numFmtId="164" fontId="32" fillId="26" borderId="2" xfId="1" applyNumberFormat="1" applyFont="1" applyFill="1" applyBorder="1" applyAlignment="1">
      <alignment horizontal="center" vertical="center"/>
    </xf>
    <xf numFmtId="0" fontId="9" fillId="11" borderId="41" xfId="0" applyFont="1" applyFill="1" applyBorder="1"/>
    <xf numFmtId="164" fontId="9" fillId="31" borderId="41" xfId="0" applyNumberFormat="1" applyFont="1" applyFill="1" applyBorder="1" applyAlignment="1">
      <alignment horizontal="center"/>
    </xf>
    <xf numFmtId="164" fontId="46" fillId="25" borderId="33" xfId="2" applyNumberFormat="1" applyFont="1" applyFill="1" applyBorder="1" applyAlignment="1">
      <alignment horizontal="center" vertical="center" wrapText="1"/>
    </xf>
    <xf numFmtId="164" fontId="26" fillId="3" borderId="63" xfId="2" applyNumberFormat="1" applyFont="1" applyFill="1" applyBorder="1" applyAlignment="1">
      <alignment horizontal="center" vertical="center" wrapText="1"/>
    </xf>
    <xf numFmtId="165" fontId="35" fillId="3" borderId="63" xfId="2" applyNumberFormat="1" applyFill="1" applyBorder="1" applyAlignment="1">
      <alignment horizontal="center" vertical="center" wrapText="1"/>
    </xf>
    <xf numFmtId="164" fontId="35" fillId="3" borderId="63" xfId="2" applyNumberFormat="1" applyFill="1" applyBorder="1" applyAlignment="1">
      <alignment horizontal="center" vertical="center" wrapText="1"/>
    </xf>
    <xf numFmtId="164" fontId="46"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6" fillId="25" borderId="90" xfId="1" applyNumberFormat="1" applyFont="1" applyFill="1" applyBorder="1" applyAlignment="1">
      <alignment horizontal="center" vertical="center" wrapText="1"/>
    </xf>
    <xf numFmtId="164" fontId="9" fillId="0" borderId="41" xfId="0" applyNumberFormat="1" applyFont="1" applyBorder="1"/>
    <xf numFmtId="0" fontId="7" fillId="0" borderId="41" xfId="0" applyFont="1" applyBorder="1" applyAlignment="1">
      <alignment horizontal="center" vertical="center"/>
    </xf>
    <xf numFmtId="17" fontId="7" fillId="0" borderId="41" xfId="0" applyNumberFormat="1" applyFont="1" applyBorder="1" applyAlignment="1">
      <alignment horizontal="center" vertical="center"/>
    </xf>
    <xf numFmtId="9" fontId="8" fillId="3" borderId="41" xfId="1" applyFont="1" applyFill="1" applyBorder="1" applyAlignment="1">
      <alignment horizontal="center"/>
    </xf>
    <xf numFmtId="165" fontId="6"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36" fillId="2" borderId="0" xfId="2" applyNumberFormat="1" applyFont="1" applyFill="1" applyAlignment="1">
      <alignment horizontal="center" wrapText="1"/>
    </xf>
    <xf numFmtId="166" fontId="28"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5" fillId="3" borderId="29" xfId="2" applyNumberFormat="1" applyFill="1" applyBorder="1" applyAlignment="1">
      <alignment horizontal="center" vertical="center" wrapText="1"/>
    </xf>
    <xf numFmtId="166" fontId="35" fillId="0" borderId="29" xfId="2" applyNumberFormat="1" applyBorder="1" applyAlignment="1">
      <alignment horizontal="center" vertical="center" wrapText="1"/>
    </xf>
    <xf numFmtId="166" fontId="35" fillId="3" borderId="63" xfId="2" applyNumberFormat="1" applyFill="1" applyBorder="1" applyAlignment="1">
      <alignment horizontal="center" vertical="center" wrapText="1"/>
    </xf>
    <xf numFmtId="166" fontId="46" fillId="29" borderId="34" xfId="2" applyNumberFormat="1" applyFont="1" applyFill="1" applyBorder="1" applyAlignment="1">
      <alignment horizontal="center" vertical="center" wrapText="1"/>
    </xf>
    <xf numFmtId="166" fontId="35" fillId="0" borderId="0" xfId="2" applyNumberFormat="1" applyAlignment="1">
      <alignment horizontal="center" wrapText="1"/>
    </xf>
    <xf numFmtId="166" fontId="32" fillId="25" borderId="56" xfId="1" applyNumberFormat="1" applyFont="1" applyFill="1" applyBorder="1" applyAlignment="1">
      <alignment horizontal="center" vertical="center" wrapText="1"/>
    </xf>
    <xf numFmtId="166" fontId="24" fillId="29" borderId="92" xfId="1" applyNumberFormat="1" applyFont="1" applyFill="1" applyBorder="1" applyAlignment="1">
      <alignment horizontal="center" vertical="center"/>
    </xf>
    <xf numFmtId="164" fontId="9" fillId="18" borderId="41" xfId="0" applyNumberFormat="1" applyFont="1" applyFill="1" applyBorder="1" applyAlignment="1">
      <alignment horizontal="center"/>
    </xf>
    <xf numFmtId="167" fontId="0" fillId="2" borderId="2" xfId="1" applyNumberFormat="1" applyFont="1" applyFill="1" applyBorder="1" applyAlignment="1">
      <alignment horizontal="center" vertical="center"/>
    </xf>
    <xf numFmtId="167" fontId="6"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14" fillId="4" borderId="93" xfId="0" applyNumberFormat="1" applyFont="1" applyFill="1" applyBorder="1" applyAlignment="1">
      <alignment horizontal="center" vertical="center"/>
    </xf>
    <xf numFmtId="9" fontId="14" fillId="4" borderId="94" xfId="0" applyNumberFormat="1" applyFont="1" applyFill="1" applyBorder="1" applyAlignment="1">
      <alignment horizontal="center" vertical="center"/>
    </xf>
    <xf numFmtId="9" fontId="14" fillId="4" borderId="95" xfId="0" applyNumberFormat="1" applyFont="1" applyFill="1" applyBorder="1" applyAlignment="1">
      <alignment horizontal="center" vertical="center"/>
    </xf>
    <xf numFmtId="9" fontId="14" fillId="4" borderId="96" xfId="0" applyNumberFormat="1" applyFont="1" applyFill="1" applyBorder="1" applyAlignment="1">
      <alignment horizontal="center" vertical="center"/>
    </xf>
    <xf numFmtId="9" fontId="6" fillId="2" borderId="41" xfId="1" applyFont="1" applyFill="1" applyBorder="1" applyAlignment="1">
      <alignment horizontal="center" vertical="center"/>
    </xf>
    <xf numFmtId="1" fontId="12" fillId="3" borderId="18" xfId="1" applyNumberFormat="1" applyFont="1" applyFill="1" applyBorder="1" applyAlignment="1">
      <alignment horizontal="center" vertical="center"/>
    </xf>
    <xf numFmtId="1" fontId="6" fillId="2" borderId="99" xfId="1" applyNumberFormat="1" applyFont="1" applyFill="1" applyBorder="1" applyAlignment="1">
      <alignment horizontal="center" vertical="center"/>
    </xf>
    <xf numFmtId="166" fontId="6" fillId="11" borderId="0" xfId="1" applyNumberFormat="1" applyFont="1" applyFill="1" applyBorder="1" applyAlignment="1">
      <alignment horizontal="center" vertical="center"/>
    </xf>
    <xf numFmtId="166" fontId="6" fillId="11" borderId="41" xfId="1" applyNumberFormat="1" applyFont="1" applyFill="1" applyBorder="1" applyAlignment="1">
      <alignment horizontal="center" vertical="center"/>
    </xf>
    <xf numFmtId="166" fontId="6" fillId="0" borderId="41" xfId="1" applyNumberFormat="1" applyFont="1" applyFill="1" applyBorder="1" applyAlignment="1">
      <alignment horizontal="center" vertical="center"/>
    </xf>
    <xf numFmtId="164" fontId="54" fillId="26" borderId="20" xfId="0" applyNumberFormat="1" applyFont="1" applyFill="1" applyBorder="1" applyAlignment="1">
      <alignment horizontal="center" vertical="center"/>
    </xf>
    <xf numFmtId="17" fontId="38"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17" fontId="55" fillId="26" borderId="19" xfId="0" applyNumberFormat="1" applyFont="1" applyFill="1" applyBorder="1" applyAlignment="1">
      <alignment horizontal="right" vertical="center"/>
    </xf>
    <xf numFmtId="166" fontId="5" fillId="11" borderId="0"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66" fontId="4" fillId="11" borderId="0"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0" borderId="73"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0" borderId="73" xfId="1" applyFont="1" applyFill="1" applyBorder="1" applyAlignment="1">
      <alignment horizontal="center" vertical="center"/>
    </xf>
    <xf numFmtId="165" fontId="2" fillId="2" borderId="2" xfId="1" applyNumberFormat="1" applyFont="1" applyFill="1" applyBorder="1" applyAlignment="1">
      <alignment horizontal="center" vertical="center"/>
    </xf>
    <xf numFmtId="166" fontId="2" fillId="11" borderId="0"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27" fillId="35" borderId="21" xfId="2" applyFont="1" applyFill="1" applyBorder="1" applyAlignment="1">
      <alignment horizontal="center" vertical="center" wrapText="1"/>
    </xf>
    <xf numFmtId="0" fontId="27" fillId="35" borderId="22" xfId="2" applyFont="1" applyFill="1" applyBorder="1" applyAlignment="1">
      <alignment horizontal="center" vertical="center" wrapText="1"/>
    </xf>
    <xf numFmtId="0" fontId="27" fillId="35" borderId="49" xfId="2" applyFont="1" applyFill="1" applyBorder="1" applyAlignment="1">
      <alignment horizontal="center" vertical="center" wrapText="1"/>
    </xf>
    <xf numFmtId="0" fontId="27" fillId="35" borderId="39" xfId="2" applyFont="1" applyFill="1" applyBorder="1" applyAlignment="1">
      <alignment horizontal="center" vertical="center" wrapText="1"/>
    </xf>
    <xf numFmtId="49" fontId="27" fillId="25" borderId="43" xfId="2" applyNumberFormat="1" applyFont="1" applyFill="1" applyBorder="1" applyAlignment="1">
      <alignment horizontal="center" vertical="center" wrapText="1"/>
    </xf>
    <xf numFmtId="49" fontId="27" fillId="25" borderId="44" xfId="2" applyNumberFormat="1" applyFont="1" applyFill="1" applyBorder="1" applyAlignment="1">
      <alignment horizontal="center" vertical="center" wrapText="1"/>
    </xf>
    <xf numFmtId="49" fontId="27" fillId="25" borderId="45" xfId="2" applyNumberFormat="1" applyFont="1" applyFill="1" applyBorder="1" applyAlignment="1">
      <alignment horizontal="center" vertical="center" wrapText="1"/>
    </xf>
    <xf numFmtId="49" fontId="27" fillId="25" borderId="51" xfId="2" applyNumberFormat="1" applyFont="1" applyFill="1" applyBorder="1" applyAlignment="1">
      <alignment horizontal="center" vertical="center" wrapText="1"/>
    </xf>
    <xf numFmtId="49" fontId="27" fillId="25" borderId="52" xfId="2" applyNumberFormat="1" applyFont="1" applyFill="1" applyBorder="1" applyAlignment="1">
      <alignment horizontal="center" vertical="center" wrapText="1"/>
    </xf>
    <xf numFmtId="49" fontId="27" fillId="25" borderId="53" xfId="2" applyNumberFormat="1" applyFont="1" applyFill="1" applyBorder="1" applyAlignment="1">
      <alignment horizontal="center" vertical="center" wrapText="1"/>
    </xf>
    <xf numFmtId="0" fontId="40" fillId="28" borderId="87" xfId="2" applyFont="1" applyFill="1" applyBorder="1" applyAlignment="1">
      <alignment horizontal="center" vertical="center"/>
    </xf>
    <xf numFmtId="0" fontId="40" fillId="28" borderId="88" xfId="2" applyFont="1" applyFill="1" applyBorder="1" applyAlignment="1">
      <alignment horizontal="center" vertical="center"/>
    </xf>
    <xf numFmtId="0" fontId="40" fillId="28" borderId="89" xfId="2" applyFont="1" applyFill="1" applyBorder="1" applyAlignment="1">
      <alignment horizontal="center" vertical="center"/>
    </xf>
    <xf numFmtId="49" fontId="27" fillId="34" borderId="86" xfId="2" applyNumberFormat="1" applyFont="1" applyFill="1" applyBorder="1" applyAlignment="1">
      <alignment horizontal="left" vertical="center" wrapText="1" indent="1"/>
    </xf>
    <xf numFmtId="49" fontId="27" fillId="34" borderId="21" xfId="2" applyNumberFormat="1" applyFont="1" applyFill="1" applyBorder="1" applyAlignment="1">
      <alignment horizontal="left" vertical="center" wrapText="1" indent="1"/>
    </xf>
    <xf numFmtId="49" fontId="27" fillId="34" borderId="22" xfId="2" applyNumberFormat="1" applyFont="1" applyFill="1" applyBorder="1" applyAlignment="1">
      <alignment horizontal="left" vertical="center" wrapText="1" indent="1"/>
    </xf>
    <xf numFmtId="0" fontId="38" fillId="36" borderId="46" xfId="2" applyFont="1" applyFill="1" applyBorder="1" applyAlignment="1">
      <alignment horizontal="center" vertical="center" wrapText="1"/>
    </xf>
    <xf numFmtId="0" fontId="38" fillId="36" borderId="47" xfId="2" applyFont="1" applyFill="1" applyBorder="1" applyAlignment="1">
      <alignment horizontal="center" vertical="center" wrapText="1"/>
    </xf>
    <xf numFmtId="0" fontId="38" fillId="36" borderId="48" xfId="2" applyFont="1" applyFill="1" applyBorder="1" applyAlignment="1">
      <alignment horizontal="center" vertical="center" wrapText="1"/>
    </xf>
    <xf numFmtId="0" fontId="38" fillId="37" borderId="46" xfId="2" applyFont="1" applyFill="1" applyBorder="1" applyAlignment="1">
      <alignment horizontal="center" vertical="center" wrapText="1"/>
    </xf>
    <xf numFmtId="0" fontId="38" fillId="37" borderId="47" xfId="2" applyFont="1" applyFill="1" applyBorder="1" applyAlignment="1">
      <alignment horizontal="center" vertical="center" wrapText="1"/>
    </xf>
    <xf numFmtId="0" fontId="38" fillId="37" borderId="48" xfId="2" applyFont="1" applyFill="1" applyBorder="1" applyAlignment="1">
      <alignment horizontal="center" vertical="center" wrapText="1"/>
    </xf>
    <xf numFmtId="0" fontId="38" fillId="38" borderId="46" xfId="2" applyFont="1" applyFill="1" applyBorder="1" applyAlignment="1">
      <alignment horizontal="center" vertical="center" wrapText="1"/>
    </xf>
    <xf numFmtId="0" fontId="38" fillId="38" borderId="47" xfId="2" applyFont="1" applyFill="1" applyBorder="1" applyAlignment="1">
      <alignment horizontal="center" vertical="center" wrapText="1"/>
    </xf>
    <xf numFmtId="0" fontId="38" fillId="38" borderId="48" xfId="2" applyFont="1" applyFill="1" applyBorder="1" applyAlignment="1">
      <alignment horizontal="center" vertical="center" wrapText="1"/>
    </xf>
    <xf numFmtId="0" fontId="38" fillId="24" borderId="85" xfId="2" applyFont="1" applyFill="1" applyBorder="1" applyAlignment="1">
      <alignment horizontal="center" vertical="center" wrapText="1"/>
    </xf>
    <xf numFmtId="0" fontId="38" fillId="24" borderId="83" xfId="2" applyFont="1" applyFill="1" applyBorder="1" applyAlignment="1">
      <alignment horizontal="center" vertical="center" wrapText="1"/>
    </xf>
    <xf numFmtId="0" fontId="38" fillId="24" borderId="84" xfId="2" applyFont="1" applyFill="1" applyBorder="1" applyAlignment="1">
      <alignment horizontal="center" vertical="center" wrapText="1"/>
    </xf>
    <xf numFmtId="0" fontId="38" fillId="39" borderId="82" xfId="2" applyFont="1" applyFill="1" applyBorder="1" applyAlignment="1">
      <alignment horizontal="center" vertical="center" wrapText="1"/>
    </xf>
    <xf numFmtId="0" fontId="38" fillId="39" borderId="83" xfId="2" applyFont="1" applyFill="1" applyBorder="1" applyAlignment="1">
      <alignment horizontal="center" vertical="center" wrapText="1"/>
    </xf>
    <xf numFmtId="0" fontId="38" fillId="39" borderId="84" xfId="2" applyFont="1" applyFill="1" applyBorder="1" applyAlignment="1">
      <alignment horizontal="center" vertical="center" wrapText="1"/>
    </xf>
    <xf numFmtId="9" fontId="42" fillId="30" borderId="79" xfId="0" applyNumberFormat="1" applyFont="1" applyFill="1" applyBorder="1" applyAlignment="1">
      <alignment horizontal="center" vertical="center" wrapText="1"/>
    </xf>
    <xf numFmtId="9" fontId="42" fillId="30" borderId="80" xfId="0" applyNumberFormat="1" applyFont="1" applyFill="1" applyBorder="1" applyAlignment="1">
      <alignment horizontal="center" vertical="center" wrapText="1"/>
    </xf>
    <xf numFmtId="9" fontId="42" fillId="30" borderId="81" xfId="0" applyNumberFormat="1" applyFont="1" applyFill="1" applyBorder="1" applyAlignment="1">
      <alignment horizontal="center" vertical="center" wrapText="1"/>
    </xf>
    <xf numFmtId="9" fontId="27" fillId="33" borderId="36" xfId="0" applyNumberFormat="1" applyFont="1" applyFill="1" applyBorder="1" applyAlignment="1">
      <alignment horizontal="center" vertical="center" wrapText="1"/>
    </xf>
    <xf numFmtId="9" fontId="27" fillId="33" borderId="35"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6" fillId="20" borderId="10" xfId="0" applyFont="1" applyFill="1" applyBorder="1" applyAlignment="1">
      <alignment horizontal="right" vertical="center"/>
    </xf>
    <xf numFmtId="0" fontId="26" fillId="20" borderId="11" xfId="0" applyFont="1" applyFill="1" applyBorder="1" applyAlignment="1">
      <alignment horizontal="right" vertical="center"/>
    </xf>
    <xf numFmtId="0" fontId="26" fillId="19" borderId="97" xfId="0" applyFont="1" applyFill="1" applyBorder="1" applyAlignment="1">
      <alignment horizontal="center" vertical="center"/>
    </xf>
    <xf numFmtId="0" fontId="26" fillId="19" borderId="98" xfId="0" applyFont="1" applyFill="1" applyBorder="1" applyAlignment="1">
      <alignment horizontal="center" vertical="center"/>
    </xf>
    <xf numFmtId="0" fontId="26" fillId="19" borderId="0" xfId="0" applyFont="1" applyFill="1" applyAlignment="1">
      <alignment horizontal="center" vertical="center"/>
    </xf>
    <xf numFmtId="0" fontId="26"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8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32</xdr:col>
      <xdr:colOff>50800</xdr:colOff>
      <xdr:row>0</xdr:row>
      <xdr:rowOff>0</xdr:rowOff>
    </xdr:from>
    <xdr:to>
      <xdr:col>33</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7</xdr:col>
      <xdr:colOff>0</xdr:colOff>
      <xdr:row>54</xdr:row>
      <xdr:rowOff>42000</xdr:rowOff>
    </xdr:from>
    <xdr:to>
      <xdr:col>7</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8</xdr:col>
      <xdr:colOff>931480</xdr:colOff>
      <xdr:row>52</xdr:row>
      <xdr:rowOff>128280</xdr:rowOff>
    </xdr:from>
    <xdr:to>
      <xdr:col>8</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9</xdr:col>
      <xdr:colOff>640820</xdr:colOff>
      <xdr:row>52</xdr:row>
      <xdr:rowOff>120000</xdr:rowOff>
    </xdr:from>
    <xdr:to>
      <xdr:col>9</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ACCESS/AGED%20CARE%20ACCESS%2007%20JUL%202026.xlsx" TargetMode="External"/><Relationship Id="rId1" Type="http://schemas.openxmlformats.org/officeDocument/2006/relationships/externalLinkPath" Target="/Users/simonblair/Library/CloudStorage/Dropbox/ACXPA%20Quality%20Insights/REPORTS/2026/AGED%20CARE/ACCESS/AGED%20CARE%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_CARE"/>
      <sheetName val="BOLTON_CLARKE"/>
      <sheetName val="HAMMONDCARE"/>
      <sheetName val="SILVER_CHAIN"/>
      <sheetName val="UNITING AGE WELL"/>
      <sheetName val="UNITING_NSW_ACT"/>
    </sheetNames>
    <sheetDataSet>
      <sheetData sheetId="0"/>
      <sheetData sheetId="1"/>
      <sheetData sheetId="2">
        <row r="4">
          <cell r="D4">
            <v>0.66047619047619055</v>
          </cell>
          <cell r="E4">
            <v>0.74529761904761893</v>
          </cell>
          <cell r="F4">
            <v>0.83805555555555555</v>
          </cell>
          <cell r="G4">
            <v>0.77083333333333337</v>
          </cell>
          <cell r="H4">
            <v>0.94513888888888886</v>
          </cell>
          <cell r="I4">
            <v>0.92708333333333337</v>
          </cell>
          <cell r="J4">
            <v>0.9243055555555556</v>
          </cell>
        </row>
        <row r="70">
          <cell r="B70">
            <v>1.5040784832451501E-3</v>
          </cell>
          <cell r="D70">
            <v>2.6543209876543207E-3</v>
          </cell>
          <cell r="E70">
            <v>1.8981481481481482E-3</v>
          </cell>
          <cell r="F70">
            <v>1.3155864197530863E-3</v>
          </cell>
          <cell r="G70">
            <v>2.9282407407407412E-3</v>
          </cell>
          <cell r="H70">
            <v>5.5169753086419752E-4</v>
          </cell>
          <cell r="I70">
            <v>6.2500000000000001E-4</v>
          </cell>
          <cell r="J70">
            <v>5.5555555555555556E-4</v>
          </cell>
        </row>
      </sheetData>
      <sheetData sheetId="3">
        <row r="4">
          <cell r="D4">
            <v>0.78875000000000006</v>
          </cell>
          <cell r="E4">
            <v>0.75750000000000006</v>
          </cell>
          <cell r="F4">
            <v>0.43517857142857136</v>
          </cell>
        </row>
      </sheetData>
      <sheetData sheetId="4">
        <row r="4">
          <cell r="D4">
            <v>0.70214285714285718</v>
          </cell>
          <cell r="E4">
            <v>0.81374999999999997</v>
          </cell>
          <cell r="F4">
            <v>0.72</v>
          </cell>
        </row>
      </sheetData>
      <sheetData sheetId="5">
        <row r="4">
          <cell r="D4">
            <v>0.7616666666666666</v>
          </cell>
          <cell r="E4">
            <v>0.89708333333333334</v>
          </cell>
          <cell r="F4">
            <v>0.8554166666666666</v>
          </cell>
        </row>
      </sheetData>
      <sheetData sheetId="6">
        <row r="4">
          <cell r="D4">
            <v>0.875</v>
          </cell>
          <cell r="E4">
            <v>0.8125</v>
          </cell>
          <cell r="F4">
            <v>0.625</v>
          </cell>
        </row>
      </sheetData>
      <sheetData sheetId="7">
        <row r="4">
          <cell r="D4">
            <v>0.95833333333333337</v>
          </cell>
          <cell r="E4">
            <v>0.95000000000000007</v>
          </cell>
          <cell r="F4">
            <v>0.92708333333333337</v>
          </cell>
        </row>
      </sheetData>
      <sheetData sheetId="8">
        <row r="4">
          <cell r="D4">
            <v>0.95833333333333337</v>
          </cell>
          <cell r="E4">
            <v>0.89583333333333337</v>
          </cell>
          <cell r="F4">
            <v>0.92708333333333337</v>
          </cell>
        </row>
      </sheetData>
      <sheetData sheetId="9">
        <row r="4">
          <cell r="D4">
            <v>0.92708333333333337</v>
          </cell>
          <cell r="E4">
            <v>0.95000000000000007</v>
          </cell>
          <cell r="F4">
            <v>0.89583333333333337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Q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1" customWidth="1"/>
    <col min="34" max="38" width="16.6640625" style="74" customWidth="1"/>
    <col min="39" max="39" width="16.6640625" style="27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3"/>
      <c r="AH1" s="64"/>
      <c r="AI1" s="64"/>
      <c r="AJ1" s="64"/>
      <c r="AK1" s="64"/>
      <c r="AL1" s="64"/>
      <c r="AM1" s="263"/>
    </row>
    <row r="2" spans="1:39" ht="27" customHeight="1" thickBot="1" x14ac:dyDescent="0.25">
      <c r="A2" s="317" t="s">
        <v>110</v>
      </c>
      <c r="B2" s="338" t="s">
        <v>84</v>
      </c>
      <c r="C2" s="341" t="s">
        <v>85</v>
      </c>
      <c r="D2" s="320" t="s">
        <v>162</v>
      </c>
      <c r="E2" s="321"/>
      <c r="F2" s="321"/>
      <c r="G2" s="321"/>
      <c r="H2" s="321"/>
      <c r="I2" s="321"/>
      <c r="J2" s="321"/>
      <c r="K2" s="321"/>
      <c r="L2" s="321"/>
      <c r="M2" s="321"/>
      <c r="N2" s="321"/>
      <c r="O2" s="321"/>
      <c r="P2" s="321"/>
      <c r="Q2" s="321"/>
      <c r="R2" s="321"/>
      <c r="S2" s="321"/>
      <c r="T2" s="321"/>
      <c r="U2" s="321"/>
      <c r="V2" s="321"/>
      <c r="W2" s="321"/>
      <c r="X2" s="321"/>
      <c r="Y2" s="321"/>
      <c r="Z2" s="322"/>
      <c r="AA2" s="66"/>
      <c r="AB2" s="307" t="s">
        <v>49</v>
      </c>
      <c r="AC2" s="307"/>
      <c r="AD2" s="308"/>
      <c r="AE2" s="119"/>
      <c r="AF2" s="311"/>
      <c r="AG2" s="312"/>
      <c r="AH2" s="312"/>
      <c r="AI2" s="312"/>
      <c r="AJ2" s="312"/>
      <c r="AK2" s="312"/>
      <c r="AL2" s="313"/>
      <c r="AM2" s="306"/>
    </row>
    <row r="3" spans="1:39" ht="27" customHeight="1" thickBot="1" x14ac:dyDescent="0.25">
      <c r="A3" s="318"/>
      <c r="B3" s="339"/>
      <c r="C3" s="342"/>
      <c r="D3" s="323" t="s">
        <v>9</v>
      </c>
      <c r="E3" s="324"/>
      <c r="F3" s="324"/>
      <c r="G3" s="324"/>
      <c r="H3" s="325"/>
      <c r="I3" s="326" t="s">
        <v>10</v>
      </c>
      <c r="J3" s="327"/>
      <c r="K3" s="327"/>
      <c r="L3" s="328"/>
      <c r="M3" s="329" t="s">
        <v>11</v>
      </c>
      <c r="N3" s="330"/>
      <c r="O3" s="330"/>
      <c r="P3" s="330"/>
      <c r="Q3" s="331"/>
      <c r="R3" s="332" t="s">
        <v>12</v>
      </c>
      <c r="S3" s="333"/>
      <c r="T3" s="333"/>
      <c r="U3" s="334"/>
      <c r="V3" s="335" t="s">
        <v>117</v>
      </c>
      <c r="W3" s="336"/>
      <c r="X3" s="336"/>
      <c r="Y3" s="336"/>
      <c r="Z3" s="337"/>
      <c r="AA3" s="67"/>
      <c r="AB3" s="309"/>
      <c r="AC3" s="309"/>
      <c r="AD3" s="310"/>
      <c r="AE3" s="120"/>
      <c r="AF3" s="314"/>
      <c r="AG3" s="315"/>
      <c r="AH3" s="315"/>
      <c r="AI3" s="315"/>
      <c r="AJ3" s="315"/>
      <c r="AK3" s="315"/>
      <c r="AL3" s="316"/>
      <c r="AM3" s="306"/>
    </row>
    <row r="4" spans="1:39" ht="45" customHeight="1" thickBot="1" x14ac:dyDescent="0.25">
      <c r="A4" s="319"/>
      <c r="B4" s="340"/>
      <c r="C4" s="343"/>
      <c r="D4" s="121" t="s">
        <v>50</v>
      </c>
      <c r="E4" s="122" t="s">
        <v>17</v>
      </c>
      <c r="F4" s="122" t="s">
        <v>18</v>
      </c>
      <c r="G4" s="122" t="s">
        <v>19</v>
      </c>
      <c r="H4" s="122" t="s">
        <v>20</v>
      </c>
      <c r="I4" s="123" t="s">
        <v>51</v>
      </c>
      <c r="J4" s="124" t="s">
        <v>21</v>
      </c>
      <c r="K4" s="125" t="s">
        <v>22</v>
      </c>
      <c r="L4" s="126" t="s">
        <v>23</v>
      </c>
      <c r="M4" s="127" t="s">
        <v>52</v>
      </c>
      <c r="N4" s="128" t="s">
        <v>24</v>
      </c>
      <c r="O4" s="128" t="s">
        <v>27</v>
      </c>
      <c r="P4" s="128" t="s">
        <v>25</v>
      </c>
      <c r="Q4" s="129" t="s">
        <v>26</v>
      </c>
      <c r="R4" s="130" t="s">
        <v>53</v>
      </c>
      <c r="S4" s="131" t="s">
        <v>29</v>
      </c>
      <c r="T4" s="68" t="s">
        <v>28</v>
      </c>
      <c r="U4" s="68" t="s">
        <v>30</v>
      </c>
      <c r="V4" s="132" t="s">
        <v>54</v>
      </c>
      <c r="W4" s="133" t="s">
        <v>31</v>
      </c>
      <c r="X4" s="134" t="s">
        <v>32</v>
      </c>
      <c r="Y4" s="134" t="s">
        <v>33</v>
      </c>
      <c r="Z4" s="135" t="s">
        <v>163</v>
      </c>
      <c r="AA4" s="69"/>
      <c r="AB4" s="136" t="s">
        <v>77</v>
      </c>
      <c r="AC4" s="136" t="s">
        <v>55</v>
      </c>
      <c r="AD4" s="136" t="s">
        <v>56</v>
      </c>
      <c r="AE4" s="137"/>
      <c r="AF4" s="138" t="s">
        <v>83</v>
      </c>
      <c r="AG4" s="272" t="s">
        <v>40</v>
      </c>
      <c r="AH4" s="139" t="s">
        <v>39</v>
      </c>
      <c r="AI4" s="139" t="s">
        <v>36</v>
      </c>
      <c r="AJ4" s="139" t="s">
        <v>37</v>
      </c>
      <c r="AK4" s="139" t="s">
        <v>38</v>
      </c>
      <c r="AL4" s="254" t="s">
        <v>81</v>
      </c>
      <c r="AM4" s="264" t="s">
        <v>78</v>
      </c>
    </row>
    <row r="5" spans="1:39" ht="24" x14ac:dyDescent="0.2">
      <c r="A5" s="116" t="e">
        <f>OVERALL!#REF!</f>
        <v>#REF!</v>
      </c>
      <c r="B5" s="140" t="e">
        <f>OVERALL!#REF!</f>
        <v>#REF!</v>
      </c>
      <c r="C5" s="141" t="e">
        <f>OVERALL!#REF!</f>
        <v>#REF!</v>
      </c>
      <c r="D5" s="142" t="e">
        <f>OVERALL!#REF!</f>
        <v>#REF!</v>
      </c>
      <c r="E5" s="70" t="e">
        <f>OVERALL!#REF!</f>
        <v>#REF!</v>
      </c>
      <c r="F5" s="71" t="e">
        <f>OVERALL!#REF!</f>
        <v>#REF!</v>
      </c>
      <c r="G5" s="81" t="e">
        <f>OVERALL!#REF!</f>
        <v>#REF!</v>
      </c>
      <c r="H5" s="83" t="e">
        <f>OVERALL!#REF!</f>
        <v>#REF!</v>
      </c>
      <c r="I5" s="143" t="e">
        <f>OVERALL!#REF!</f>
        <v>#REF!</v>
      </c>
      <c r="J5" s="81" t="e">
        <f>OVERALL!#REF!</f>
        <v>#REF!</v>
      </c>
      <c r="K5" s="82" t="e">
        <f>OVERALL!#REF!</f>
        <v>#REF!</v>
      </c>
      <c r="L5" s="144" t="e">
        <f>OVERALL!#REF!</f>
        <v>#REF!</v>
      </c>
      <c r="M5" s="145" t="e">
        <f>OVERALL!#REF!</f>
        <v>#REF!</v>
      </c>
      <c r="N5" s="81" t="e">
        <f>OVERALL!#REF!</f>
        <v>#REF!</v>
      </c>
      <c r="O5" s="82" t="e">
        <f>OVERALL!#REF!</f>
        <v>#REF!</v>
      </c>
      <c r="P5" s="82" t="e">
        <f>OVERALL!#REF!</f>
        <v>#REF!</v>
      </c>
      <c r="Q5" s="144" t="e">
        <f>OVERALL!#REF!</f>
        <v>#REF!</v>
      </c>
      <c r="R5" s="146" t="e">
        <f>OVERALL!#REF!</f>
        <v>#REF!</v>
      </c>
      <c r="S5" s="147" t="e">
        <f>OVERALL!#REF!</f>
        <v>#REF!</v>
      </c>
      <c r="T5" s="83" t="e">
        <f>OVERALL!#REF!</f>
        <v>#REF!</v>
      </c>
      <c r="U5" s="83" t="e">
        <f>OVERALL!#REF!</f>
        <v>#REF!</v>
      </c>
      <c r="V5" s="148" t="e">
        <f>OVERALL!#REF!</f>
        <v>#REF!</v>
      </c>
      <c r="W5" s="147" t="e">
        <f>OVERALL!#REF!</f>
        <v>#REF!</v>
      </c>
      <c r="X5" s="83" t="e">
        <f>OVERALL!#REF!</f>
        <v>#REF!</v>
      </c>
      <c r="Y5" s="83" t="e">
        <f>OVERALL!#REF!</f>
        <v>#REF!</v>
      </c>
      <c r="Z5" s="83" t="e">
        <f>OVERALL!#REF!</f>
        <v>#REF!</v>
      </c>
      <c r="AA5" s="72"/>
      <c r="AB5" s="82" t="e">
        <f>OVERALL!#REF!</f>
        <v>#REF!</v>
      </c>
      <c r="AC5" s="82" t="e">
        <f>OVERALL!#REF!</f>
        <v>#REF!</v>
      </c>
      <c r="AD5" s="82" t="e">
        <f>OVERALL!#REF!</f>
        <v>#REF!</v>
      </c>
      <c r="AE5" s="73"/>
      <c r="AF5" s="84" t="e">
        <f>OVERALL!#REF!</f>
        <v>#REF!</v>
      </c>
      <c r="AG5" s="265" t="e">
        <f>OVERALL!#REF!</f>
        <v>#REF!</v>
      </c>
      <c r="AH5" s="85" t="e">
        <f>OVERALL!#REF!</f>
        <v>#REF!</v>
      </c>
      <c r="AI5" s="82" t="e">
        <f>OVERALL!#REF!</f>
        <v>#REF!</v>
      </c>
      <c r="AJ5" s="82" t="e">
        <f>OVERALL!#REF!</f>
        <v>#REF!</v>
      </c>
      <c r="AK5" s="82" t="e">
        <f>OVERALL!#REF!</f>
        <v>#REF!</v>
      </c>
      <c r="AL5" s="82" t="e">
        <f>OVERALL!#REF!</f>
        <v>#REF!</v>
      </c>
      <c r="AM5" s="265" t="e">
        <f>OVERALL!#REF!</f>
        <v>#REF!</v>
      </c>
    </row>
    <row r="6" spans="1:39" ht="24" x14ac:dyDescent="0.2">
      <c r="A6" s="116" t="str">
        <f>OVERALL!D$1</f>
        <v>BENETAS</v>
      </c>
      <c r="B6" s="140">
        <f>OVERALL!D3</f>
        <v>0.52286507936507931</v>
      </c>
      <c r="C6" s="149">
        <f>OVERALL!D$4</f>
        <v>0.46388888888888885</v>
      </c>
      <c r="D6" s="142">
        <f>OVERALL!D$6</f>
        <v>0.16666666666666666</v>
      </c>
      <c r="E6" s="150">
        <f>OVERALL!D$7</f>
        <v>0</v>
      </c>
      <c r="F6" s="151">
        <f>OVERALL!D$8</f>
        <v>0</v>
      </c>
      <c r="G6" s="152">
        <f>OVERALL!D$9</f>
        <v>0.66666666666666663</v>
      </c>
      <c r="H6" s="153">
        <f>OVERALL!D$10</f>
        <v>0</v>
      </c>
      <c r="I6" s="143">
        <f>OVERALL!D$12</f>
        <v>0.44444444444444442</v>
      </c>
      <c r="J6" s="152">
        <f>OVERALL!D$13</f>
        <v>0</v>
      </c>
      <c r="K6" s="154">
        <f>OVERALL!D$14</f>
        <v>1</v>
      </c>
      <c r="L6" s="155">
        <f>OVERALL!D$15</f>
        <v>0.33333333333333331</v>
      </c>
      <c r="M6" s="145">
        <f>OVERALL!D$17</f>
        <v>0.5</v>
      </c>
      <c r="N6" s="152">
        <f>OVERALL!D$18</f>
        <v>1</v>
      </c>
      <c r="O6" s="154">
        <f>OVERALL!D$19</f>
        <v>0</v>
      </c>
      <c r="P6" s="154">
        <f>OVERALL!D$20</f>
        <v>0</v>
      </c>
      <c r="Q6" s="155">
        <f>OVERALL!D$21</f>
        <v>1</v>
      </c>
      <c r="R6" s="146">
        <f>OVERALL!D$23</f>
        <v>0.22222222222222221</v>
      </c>
      <c r="S6" s="156">
        <f>OVERALL!D$24</f>
        <v>0</v>
      </c>
      <c r="T6" s="153">
        <f>OVERALL!D$25</f>
        <v>0</v>
      </c>
      <c r="U6" s="153">
        <f>OVERALL!D$26</f>
        <v>0.66666666666666663</v>
      </c>
      <c r="V6" s="148">
        <f>OVERALL!D$28</f>
        <v>0.91666666666666663</v>
      </c>
      <c r="W6" s="156">
        <f>OVERALL!D$29</f>
        <v>1</v>
      </c>
      <c r="X6" s="153">
        <f>OVERALL!D$30</f>
        <v>1</v>
      </c>
      <c r="Y6" s="153">
        <f>OVERALL!D$31</f>
        <v>0.66666666666666663</v>
      </c>
      <c r="Z6" s="153">
        <f>OVERALL!D$32</f>
        <v>1</v>
      </c>
      <c r="AA6" s="72"/>
      <c r="AB6" s="154">
        <f>OVERALL!D$34</f>
        <v>0</v>
      </c>
      <c r="AC6" s="154">
        <f>OVERALL!$D$35</f>
        <v>0</v>
      </c>
      <c r="AD6" s="154">
        <f>OVERALL!$D$36</f>
        <v>0</v>
      </c>
      <c r="AE6" s="73"/>
      <c r="AF6" s="157">
        <f>OVERALL!D$39</f>
        <v>1</v>
      </c>
      <c r="AG6" s="266">
        <f>OVERALL!D$40</f>
        <v>2.7199074074074074E-3</v>
      </c>
      <c r="AH6" s="158">
        <f>OVERALL!D$41</f>
        <v>4.666666666666667</v>
      </c>
      <c r="AI6" s="154">
        <f>OVERALL!D$42</f>
        <v>0.33333333333333331</v>
      </c>
      <c r="AJ6" s="154">
        <f>OVERALL!D$43</f>
        <v>0.33333333333333331</v>
      </c>
      <c r="AK6" s="154">
        <f>OVERALL!D$44</f>
        <v>1</v>
      </c>
      <c r="AL6" s="154">
        <f>OVERALL!D$45</f>
        <v>0</v>
      </c>
      <c r="AM6" s="266">
        <f>OVERALL!D$71</f>
        <v>5.3742283950617281E-3</v>
      </c>
    </row>
    <row r="7" spans="1:39" ht="24" x14ac:dyDescent="0.2">
      <c r="A7" s="116" t="str">
        <f>OVERALL!E$1</f>
        <v>BLUE CARE</v>
      </c>
      <c r="B7" s="140">
        <f>OVERALL!E3</f>
        <v>0.61345039682539682</v>
      </c>
      <c r="C7" s="141">
        <f>OVERALL!E$4</f>
        <v>0.55694444444444446</v>
      </c>
      <c r="D7" s="142">
        <f>OVERALL!E$6</f>
        <v>0.25</v>
      </c>
      <c r="E7" s="70">
        <f>OVERALL!E$7</f>
        <v>1</v>
      </c>
      <c r="F7" s="71">
        <f>OVERALL!E$8</f>
        <v>0</v>
      </c>
      <c r="G7" s="81">
        <f>OVERALL!E$9</f>
        <v>0</v>
      </c>
      <c r="H7" s="83">
        <f>OVERALL!E$10</f>
        <v>0</v>
      </c>
      <c r="I7" s="143">
        <f>OVERALL!E$12</f>
        <v>0.55555555555555547</v>
      </c>
      <c r="J7" s="81">
        <f>OVERALL!E$13</f>
        <v>0</v>
      </c>
      <c r="K7" s="82">
        <f>OVERALL!E$14</f>
        <v>1</v>
      </c>
      <c r="L7" s="144">
        <f>OVERALL!E$15</f>
        <v>0.66666666666666663</v>
      </c>
      <c r="M7" s="145">
        <f>OVERALL!E$17</f>
        <v>0.58333333333333326</v>
      </c>
      <c r="N7" s="81">
        <f>OVERALL!E$18</f>
        <v>1</v>
      </c>
      <c r="O7" s="82">
        <f>OVERALL!E$19</f>
        <v>0</v>
      </c>
      <c r="P7" s="82">
        <f>OVERALL!E$20</f>
        <v>0.33333333333333331</v>
      </c>
      <c r="Q7" s="144">
        <f>OVERALL!E$21</f>
        <v>1</v>
      </c>
      <c r="R7" s="146">
        <f>OVERALL!E$23</f>
        <v>0.44444444444444442</v>
      </c>
      <c r="S7" s="147">
        <f>OVERALL!E$24</f>
        <v>0.33333333333333331</v>
      </c>
      <c r="T7" s="83">
        <f>OVERALL!E$25</f>
        <v>0</v>
      </c>
      <c r="U7" s="83">
        <f>OVERALL!E$26</f>
        <v>1</v>
      </c>
      <c r="V7" s="148">
        <f>OVERALL!E$28</f>
        <v>0.91666666666666663</v>
      </c>
      <c r="W7" s="147">
        <f>OVERALL!E$29</f>
        <v>1</v>
      </c>
      <c r="X7" s="83">
        <f>OVERALL!E$30</f>
        <v>1</v>
      </c>
      <c r="Y7" s="83">
        <f>OVERALL!E$31</f>
        <v>1</v>
      </c>
      <c r="Z7" s="83">
        <f>OVERALL!E$32</f>
        <v>0.66666666666666663</v>
      </c>
      <c r="AA7" s="72"/>
      <c r="AB7" s="82">
        <f>OVERALL!E$34</f>
        <v>0</v>
      </c>
      <c r="AC7" s="82">
        <f>OVERALL!$E$35</f>
        <v>0</v>
      </c>
      <c r="AD7" s="82">
        <f>OVERALL!$E$36</f>
        <v>0</v>
      </c>
      <c r="AE7" s="73"/>
      <c r="AF7" s="84">
        <f>OVERALL!E$39</f>
        <v>1</v>
      </c>
      <c r="AG7" s="265">
        <f>OVERALL!E$40</f>
        <v>1.6550925925925926E-3</v>
      </c>
      <c r="AH7" s="85">
        <f>OVERALL!E$41</f>
        <v>5</v>
      </c>
      <c r="AI7" s="82">
        <f>OVERALL!E$42</f>
        <v>0</v>
      </c>
      <c r="AJ7" s="82">
        <f>OVERALL!E$43</f>
        <v>0.33333333333333331</v>
      </c>
      <c r="AK7" s="82">
        <f>OVERALL!E$44</f>
        <v>1</v>
      </c>
      <c r="AL7" s="82">
        <f>OVERALL!E$45</f>
        <v>0</v>
      </c>
      <c r="AM7" s="265">
        <f>OVERALL!E$71</f>
        <v>3.5532407407407405E-3</v>
      </c>
    </row>
    <row r="8" spans="1:39" ht="24" x14ac:dyDescent="0.2">
      <c r="A8" s="116" t="str">
        <f>OVERALL!F$1</f>
        <v>BOLTON CLARKE</v>
      </c>
      <c r="B8" s="140">
        <f>OVERALL!F3</f>
        <v>0.56544444444444442</v>
      </c>
      <c r="C8" s="149">
        <f>OVERALL!F$4</f>
        <v>0.44861111111111113</v>
      </c>
      <c r="D8" s="142">
        <f>OVERALL!F$6</f>
        <v>0.25</v>
      </c>
      <c r="E8" s="150">
        <f>OVERALL!F$7</f>
        <v>1</v>
      </c>
      <c r="F8" s="151">
        <f>OVERALL!F$8</f>
        <v>0</v>
      </c>
      <c r="G8" s="152">
        <f>OVERALL!F$9</f>
        <v>0</v>
      </c>
      <c r="H8" s="153">
        <f>OVERALL!F$10</f>
        <v>0</v>
      </c>
      <c r="I8" s="143">
        <f>OVERALL!F$12</f>
        <v>0.55555555555555547</v>
      </c>
      <c r="J8" s="152">
        <f>OVERALL!F$13</f>
        <v>0</v>
      </c>
      <c r="K8" s="154">
        <f>OVERALL!F$14</f>
        <v>1</v>
      </c>
      <c r="L8" s="155">
        <f>OVERALL!F$15</f>
        <v>0.66666666666666663</v>
      </c>
      <c r="M8" s="145">
        <f>OVERALL!F$17</f>
        <v>0.41666666666666663</v>
      </c>
      <c r="N8" s="152">
        <f>OVERALL!F$18</f>
        <v>0.33333333333333331</v>
      </c>
      <c r="O8" s="154">
        <f>OVERALL!F$19</f>
        <v>0</v>
      </c>
      <c r="P8" s="154">
        <f>OVERALL!F$20</f>
        <v>0.33333333333333331</v>
      </c>
      <c r="Q8" s="155">
        <f>OVERALL!F$21</f>
        <v>1</v>
      </c>
      <c r="R8" s="146">
        <f>OVERALL!F$23</f>
        <v>0.33333333333333331</v>
      </c>
      <c r="S8" s="156">
        <f>OVERALL!F$24</f>
        <v>0</v>
      </c>
      <c r="T8" s="153">
        <f>OVERALL!F$25</f>
        <v>0</v>
      </c>
      <c r="U8" s="153">
        <f>OVERALL!F$26</f>
        <v>1</v>
      </c>
      <c r="V8" s="148">
        <f>OVERALL!F$28</f>
        <v>0.66666666666666663</v>
      </c>
      <c r="W8" s="156">
        <f>OVERALL!F$29</f>
        <v>1</v>
      </c>
      <c r="X8" s="153">
        <f>OVERALL!F$30</f>
        <v>0.33333333333333331</v>
      </c>
      <c r="Y8" s="153">
        <f>OVERALL!F$31</f>
        <v>1</v>
      </c>
      <c r="Z8" s="153">
        <f>OVERALL!F$32</f>
        <v>0.33333333333333331</v>
      </c>
      <c r="AA8" s="72"/>
      <c r="AB8" s="154">
        <f>OVERALL!F$34</f>
        <v>0</v>
      </c>
      <c r="AC8" s="154">
        <f>OVERALL!$F$35</f>
        <v>0</v>
      </c>
      <c r="AD8" s="154">
        <f>OVERALL!$F$36</f>
        <v>0</v>
      </c>
      <c r="AE8" s="73"/>
      <c r="AF8" s="157">
        <f>OVERALL!F$39</f>
        <v>1</v>
      </c>
      <c r="AG8" s="266">
        <f>OVERALL!F$40</f>
        <v>2.5462962962962965E-3</v>
      </c>
      <c r="AH8" s="158">
        <f>OVERALL!F$41</f>
        <v>3.6666666666666665</v>
      </c>
      <c r="AI8" s="154">
        <f>OVERALL!F$42</f>
        <v>0</v>
      </c>
      <c r="AJ8" s="154">
        <f>OVERALL!F$43</f>
        <v>0</v>
      </c>
      <c r="AK8" s="154">
        <f>OVERALL!F$44</f>
        <v>0.66666666666666663</v>
      </c>
      <c r="AL8" s="154">
        <f>OVERALL!F$45</f>
        <v>0</v>
      </c>
      <c r="AM8" s="266">
        <f>OVERALL!F$71</f>
        <v>3.8618827160493826E-3</v>
      </c>
    </row>
    <row r="9" spans="1:39" ht="24" x14ac:dyDescent="0.2">
      <c r="A9" s="116" t="str">
        <f>OVERALL!G$1</f>
        <v>HAMMONDCARE</v>
      </c>
      <c r="B9" s="140">
        <f>OVERALL!G3</f>
        <v>0.64930555555555558</v>
      </c>
      <c r="C9" s="141">
        <f>OVERALL!G$4</f>
        <v>0.59722222222222221</v>
      </c>
      <c r="D9" s="142">
        <f>OVERALL!G$6</f>
        <v>0.33333333333333331</v>
      </c>
      <c r="E9" s="70">
        <f>OVERALL!G$7</f>
        <v>1</v>
      </c>
      <c r="F9" s="71">
        <f>OVERALL!G$8</f>
        <v>0</v>
      </c>
      <c r="G9" s="81">
        <f>OVERALL!G$9</f>
        <v>0.33333333333333331</v>
      </c>
      <c r="H9" s="83">
        <f>OVERALL!G$10</f>
        <v>0</v>
      </c>
      <c r="I9" s="143">
        <f>OVERALL!G$12</f>
        <v>0.77777777777777768</v>
      </c>
      <c r="J9" s="81">
        <f>OVERALL!G$13</f>
        <v>0.33333333333333331</v>
      </c>
      <c r="K9" s="82">
        <f>OVERALL!G$14</f>
        <v>1</v>
      </c>
      <c r="L9" s="144">
        <f>OVERALL!G$15</f>
        <v>1</v>
      </c>
      <c r="M9" s="145">
        <f>OVERALL!G$17</f>
        <v>0.5</v>
      </c>
      <c r="N9" s="81">
        <f>OVERALL!G$18</f>
        <v>0.66666666666666663</v>
      </c>
      <c r="O9" s="82">
        <f>OVERALL!G$19</f>
        <v>0</v>
      </c>
      <c r="P9" s="82">
        <f>OVERALL!G$20</f>
        <v>0.33333333333333331</v>
      </c>
      <c r="Q9" s="144">
        <f>OVERALL!G$21</f>
        <v>1</v>
      </c>
      <c r="R9" s="146">
        <f>OVERALL!G$23</f>
        <v>0.55555555555555547</v>
      </c>
      <c r="S9" s="147">
        <f>OVERALL!G$24</f>
        <v>0</v>
      </c>
      <c r="T9" s="83">
        <f>OVERALL!G$25</f>
        <v>0.66666666666666663</v>
      </c>
      <c r="U9" s="83">
        <f>OVERALL!G$26</f>
        <v>1</v>
      </c>
      <c r="V9" s="148">
        <f>OVERALL!G$28</f>
        <v>0.83333333333333337</v>
      </c>
      <c r="W9" s="147">
        <f>OVERALL!G$29</f>
        <v>1</v>
      </c>
      <c r="X9" s="83">
        <f>OVERALL!G$30</f>
        <v>1</v>
      </c>
      <c r="Y9" s="83">
        <f>OVERALL!G$31</f>
        <v>1</v>
      </c>
      <c r="Z9" s="83">
        <f>OVERALL!G$32</f>
        <v>0.33333333333333331</v>
      </c>
      <c r="AA9" s="72"/>
      <c r="AB9" s="82">
        <f>OVERALL!G$34</f>
        <v>0</v>
      </c>
      <c r="AC9" s="82">
        <f>OVERALL!$G$35</f>
        <v>0</v>
      </c>
      <c r="AD9" s="82">
        <f>OVERALL!$G$36</f>
        <v>0</v>
      </c>
      <c r="AE9" s="73"/>
      <c r="AF9" s="84">
        <f>OVERALL!G$39</f>
        <v>1</v>
      </c>
      <c r="AG9" s="265">
        <f>OVERALL!G$40</f>
        <v>2.2492283950617284E-3</v>
      </c>
      <c r="AH9" s="85">
        <f>OVERALL!G$41</f>
        <v>5.666666666666667</v>
      </c>
      <c r="AI9" s="82">
        <f>OVERALL!G$42</f>
        <v>0</v>
      </c>
      <c r="AJ9" s="82">
        <f>OVERALL!G$43</f>
        <v>0</v>
      </c>
      <c r="AK9" s="82">
        <f>OVERALL!G$44</f>
        <v>1</v>
      </c>
      <c r="AL9" s="82">
        <f>OVERALL!G$45</f>
        <v>0</v>
      </c>
      <c r="AM9" s="265">
        <f>OVERALL!G$71</f>
        <v>5.1774691358024696E-3</v>
      </c>
    </row>
    <row r="10" spans="1:39" ht="24" x14ac:dyDescent="0.2">
      <c r="A10" s="116" t="str">
        <f>OVERALL!H$1</f>
        <v>SILVER CHAIN</v>
      </c>
      <c r="B10" s="140">
        <f>OVERALL!H3</f>
        <v>0.66270833333333323</v>
      </c>
      <c r="C10" s="149">
        <f>OVERALL!H$4</f>
        <v>0.54166666666666663</v>
      </c>
      <c r="D10" s="142">
        <f>OVERALL!H$6</f>
        <v>0.16666666666666666</v>
      </c>
      <c r="E10" s="150">
        <f>OVERALL!H$7</f>
        <v>0.66666666666666663</v>
      </c>
      <c r="F10" s="151">
        <f>OVERALL!H$8</f>
        <v>0</v>
      </c>
      <c r="G10" s="152">
        <f>OVERALL!H$9</f>
        <v>0</v>
      </c>
      <c r="H10" s="153">
        <f>OVERALL!H$10</f>
        <v>0</v>
      </c>
      <c r="I10" s="143">
        <f>OVERALL!H$12</f>
        <v>0.66666666666666663</v>
      </c>
      <c r="J10" s="152">
        <f>OVERALL!H$13</f>
        <v>0</v>
      </c>
      <c r="K10" s="154">
        <f>OVERALL!H$14</f>
        <v>1</v>
      </c>
      <c r="L10" s="155">
        <f>OVERALL!H$15</f>
        <v>1</v>
      </c>
      <c r="M10" s="145">
        <f>OVERALL!H$17</f>
        <v>0.5</v>
      </c>
      <c r="N10" s="152">
        <f>OVERALL!H$18</f>
        <v>0.66666666666666663</v>
      </c>
      <c r="O10" s="154">
        <f>OVERALL!H$19</f>
        <v>0</v>
      </c>
      <c r="P10" s="154">
        <f>OVERALL!H$20</f>
        <v>0.33333333333333331</v>
      </c>
      <c r="Q10" s="155">
        <f>OVERALL!H$21</f>
        <v>1</v>
      </c>
      <c r="R10" s="146">
        <f>OVERALL!H$23</f>
        <v>0.44444444444444442</v>
      </c>
      <c r="S10" s="156">
        <f>OVERALL!H$24</f>
        <v>0.33333333333333331</v>
      </c>
      <c r="T10" s="153">
        <f>OVERALL!H$25</f>
        <v>0.33333333333333331</v>
      </c>
      <c r="U10" s="153">
        <f>OVERALL!H$26</f>
        <v>0.66666666666666663</v>
      </c>
      <c r="V10" s="148">
        <f>OVERALL!H$28</f>
        <v>0.91666666666666663</v>
      </c>
      <c r="W10" s="156">
        <f>OVERALL!H$29</f>
        <v>1</v>
      </c>
      <c r="X10" s="153">
        <f>OVERALL!H$30</f>
        <v>1</v>
      </c>
      <c r="Y10" s="153">
        <f>OVERALL!H$31</f>
        <v>0.66666666666666663</v>
      </c>
      <c r="Z10" s="153">
        <f>OVERALL!H$32</f>
        <v>1</v>
      </c>
      <c r="AA10" s="72"/>
      <c r="AB10" s="154">
        <f>OVERALL!H$34</f>
        <v>0</v>
      </c>
      <c r="AC10" s="154">
        <f>OVERALL!$H$35</f>
        <v>0</v>
      </c>
      <c r="AD10" s="154">
        <f>OVERALL!$H$36</f>
        <v>0</v>
      </c>
      <c r="AE10" s="73"/>
      <c r="AF10" s="157">
        <f>OVERALL!H$39</f>
        <v>1</v>
      </c>
      <c r="AG10" s="266">
        <f>OVERALL!H$40</f>
        <v>1.2538580246913582E-3</v>
      </c>
      <c r="AH10" s="158">
        <f>OVERALL!H$41</f>
        <v>5</v>
      </c>
      <c r="AI10" s="154">
        <f>OVERALL!H$42</f>
        <v>0</v>
      </c>
      <c r="AJ10" s="154">
        <f>OVERALL!H$43</f>
        <v>0</v>
      </c>
      <c r="AK10" s="154">
        <f>OVERALL!H$44</f>
        <v>0.33333333333333331</v>
      </c>
      <c r="AL10" s="154">
        <f>OVERALL!H$45</f>
        <v>0</v>
      </c>
      <c r="AM10" s="266">
        <f>OVERALL!H$71</f>
        <v>1.8055555555555557E-3</v>
      </c>
    </row>
    <row r="11" spans="1:39" ht="24" x14ac:dyDescent="0.2">
      <c r="A11" s="116" t="str">
        <f>OVERALL!I$1</f>
        <v>UNITING AGE WELL</v>
      </c>
      <c r="B11" s="140">
        <f>OVERALL!I3</f>
        <v>0.55326388888888889</v>
      </c>
      <c r="C11" s="149">
        <f>OVERALL!I$4</f>
        <v>0.39305555555555555</v>
      </c>
      <c r="D11" s="142">
        <f>OVERALL!I$6</f>
        <v>8.3333333333333329E-2</v>
      </c>
      <c r="E11" s="150">
        <f>OVERALL!I$7</f>
        <v>0.33333333333333331</v>
      </c>
      <c r="F11" s="151">
        <f>OVERALL!I$8</f>
        <v>0</v>
      </c>
      <c r="G11" s="152">
        <f>OVERALL!I$9</f>
        <v>0</v>
      </c>
      <c r="H11" s="153">
        <f>OVERALL!I$10</f>
        <v>0</v>
      </c>
      <c r="I11" s="143">
        <f>OVERALL!I$12</f>
        <v>0.44444444444444442</v>
      </c>
      <c r="J11" s="152">
        <f>OVERALL!I$13</f>
        <v>0</v>
      </c>
      <c r="K11" s="154">
        <f>OVERALL!I$14</f>
        <v>1</v>
      </c>
      <c r="L11" s="155">
        <f>OVERALL!I$15</f>
        <v>0.33333333333333331</v>
      </c>
      <c r="M11" s="145">
        <f>OVERALL!I$17</f>
        <v>0.41666666666666663</v>
      </c>
      <c r="N11" s="152">
        <f>OVERALL!I$18</f>
        <v>0.33333333333333331</v>
      </c>
      <c r="O11" s="154">
        <f>OVERALL!I$19</f>
        <v>0</v>
      </c>
      <c r="P11" s="154">
        <f>OVERALL!I$20</f>
        <v>0.33333333333333331</v>
      </c>
      <c r="Q11" s="155">
        <f>OVERALL!I$21</f>
        <v>1</v>
      </c>
      <c r="R11" s="146">
        <f>OVERALL!I$23</f>
        <v>0.44444444444444442</v>
      </c>
      <c r="S11" s="156">
        <f>OVERALL!I$24</f>
        <v>0</v>
      </c>
      <c r="T11" s="153">
        <f>OVERALL!I$25</f>
        <v>0.33333333333333331</v>
      </c>
      <c r="U11" s="153">
        <f>OVERALL!I$26</f>
        <v>1</v>
      </c>
      <c r="V11" s="148">
        <f>OVERALL!I$28</f>
        <v>0.58333333333333326</v>
      </c>
      <c r="W11" s="156">
        <f>OVERALL!I$29</f>
        <v>1</v>
      </c>
      <c r="X11" s="153">
        <f>OVERALL!I$30</f>
        <v>0.66666666666666663</v>
      </c>
      <c r="Y11" s="153">
        <f>OVERALL!I$31</f>
        <v>0.66666666666666663</v>
      </c>
      <c r="Z11" s="153">
        <f>OVERALL!I$32</f>
        <v>0</v>
      </c>
      <c r="AA11" s="72"/>
      <c r="AB11" s="154">
        <f>OVERALL!I$34</f>
        <v>0</v>
      </c>
      <c r="AC11" s="154">
        <f>OVERALL!$I$35</f>
        <v>0</v>
      </c>
      <c r="AD11" s="154">
        <f>OVERALL!$I$36</f>
        <v>0</v>
      </c>
      <c r="AE11" s="73"/>
      <c r="AF11" s="157">
        <f>OVERALL!I$39</f>
        <v>1</v>
      </c>
      <c r="AG11" s="266">
        <f>OVERALL!I$40</f>
        <v>1.508487654320988E-3</v>
      </c>
      <c r="AH11" s="158">
        <f>OVERALL!I$41</f>
        <v>4</v>
      </c>
      <c r="AI11" s="154">
        <f>OVERALL!I$42</f>
        <v>0</v>
      </c>
      <c r="AJ11" s="154">
        <f>OVERALL!I$43</f>
        <v>0</v>
      </c>
      <c r="AK11" s="154">
        <f>OVERALL!I$44</f>
        <v>1</v>
      </c>
      <c r="AL11" s="154">
        <f>OVERALL!I$45</f>
        <v>0</v>
      </c>
      <c r="AM11" s="266">
        <f>OVERALL!I$71</f>
        <v>2.1334876543209879E-3</v>
      </c>
    </row>
    <row r="12" spans="1:39" ht="24" x14ac:dyDescent="0.2">
      <c r="A12" s="116" t="str">
        <f>OVERALL!J$1</f>
        <v>UNITING NSW.ACT</v>
      </c>
      <c r="B12" s="140">
        <f>OVERALL!J3</f>
        <v>0.67395833333333344</v>
      </c>
      <c r="C12" s="149">
        <f>OVERALL!J$4</f>
        <v>0.56666666666666676</v>
      </c>
      <c r="D12" s="142">
        <f>OVERALL!J$6</f>
        <v>0.25</v>
      </c>
      <c r="E12" s="150">
        <f>OVERALL!J$7</f>
        <v>1</v>
      </c>
      <c r="F12" s="151">
        <f>OVERALL!J$8</f>
        <v>0</v>
      </c>
      <c r="G12" s="152">
        <f>OVERALL!J$9</f>
        <v>0</v>
      </c>
      <c r="H12" s="153">
        <f>OVERALL!J$10</f>
        <v>0</v>
      </c>
      <c r="I12" s="143">
        <f>OVERALL!J$12</f>
        <v>0.66666666666666663</v>
      </c>
      <c r="J12" s="152">
        <f>OVERALL!J$13</f>
        <v>0.33333333333333331</v>
      </c>
      <c r="K12" s="154">
        <f>OVERALL!J$14</f>
        <v>1</v>
      </c>
      <c r="L12" s="155">
        <f>OVERALL!J$15</f>
        <v>0.66666666666666663</v>
      </c>
      <c r="M12" s="145">
        <f>OVERALL!J$17</f>
        <v>0.66666666666666663</v>
      </c>
      <c r="N12" s="152">
        <f>OVERALL!J$18</f>
        <v>1</v>
      </c>
      <c r="O12" s="154">
        <f>OVERALL!J$19</f>
        <v>0.33333333333333331</v>
      </c>
      <c r="P12" s="154">
        <f>OVERALL!J$20</f>
        <v>0.33333333333333331</v>
      </c>
      <c r="Q12" s="155">
        <f>OVERALL!J$21</f>
        <v>1</v>
      </c>
      <c r="R12" s="146">
        <f>OVERALL!J$23</f>
        <v>0.22222222222222221</v>
      </c>
      <c r="S12" s="156">
        <f>OVERALL!J$24</f>
        <v>0</v>
      </c>
      <c r="T12" s="153">
        <f>OVERALL!J$25</f>
        <v>0</v>
      </c>
      <c r="U12" s="153">
        <f>OVERALL!J$26</f>
        <v>0.66666666666666663</v>
      </c>
      <c r="V12" s="148">
        <f>OVERALL!J$28</f>
        <v>0.91666666666666663</v>
      </c>
      <c r="W12" s="156">
        <f>OVERALL!J$29</f>
        <v>1</v>
      </c>
      <c r="X12" s="153">
        <f>OVERALL!J$30</f>
        <v>1</v>
      </c>
      <c r="Y12" s="153">
        <f>OVERALL!J$31</f>
        <v>0.66666666666666663</v>
      </c>
      <c r="Z12" s="153">
        <f>OVERALL!J$32</f>
        <v>1</v>
      </c>
      <c r="AA12" s="72"/>
      <c r="AB12" s="154">
        <f>OVERALL!J$34</f>
        <v>0</v>
      </c>
      <c r="AC12" s="154">
        <f>OVERALL!$J$35</f>
        <v>0</v>
      </c>
      <c r="AD12" s="154">
        <f>OVERALL!$J$36</f>
        <v>0</v>
      </c>
      <c r="AE12" s="73"/>
      <c r="AF12" s="157">
        <f>OVERALL!J$39</f>
        <v>1</v>
      </c>
      <c r="AG12" s="266">
        <f>OVERALL!J$40</f>
        <v>4.5794753086419752E-3</v>
      </c>
      <c r="AH12" s="158">
        <f>OVERALL!J$41</f>
        <v>5.333333333333333</v>
      </c>
      <c r="AI12" s="154">
        <f>OVERALL!J$42</f>
        <v>0.33333333333333331</v>
      </c>
      <c r="AJ12" s="154">
        <f>OVERALL!J$43</f>
        <v>0.66666666666666663</v>
      </c>
      <c r="AK12" s="154">
        <f>OVERALL!J$44</f>
        <v>1</v>
      </c>
      <c r="AL12" s="154">
        <f>OVERALL!J$45</f>
        <v>0</v>
      </c>
      <c r="AM12" s="266">
        <f>OVERALL!J$71</f>
        <v>5.1350308641975309E-3</v>
      </c>
    </row>
    <row r="13" spans="1:39" ht="24" x14ac:dyDescent="0.2">
      <c r="A13" s="116" t="str">
        <f>OVERALL!K$1</f>
        <v>AGED CARE 9</v>
      </c>
      <c r="B13" s="140" t="s">
        <v>75</v>
      </c>
      <c r="C13" s="149" t="s">
        <v>75</v>
      </c>
      <c r="D13" s="142" t="s">
        <v>75</v>
      </c>
      <c r="E13" s="150" t="s">
        <v>75</v>
      </c>
      <c r="F13" s="151" t="s">
        <v>75</v>
      </c>
      <c r="G13" s="152" t="s">
        <v>75</v>
      </c>
      <c r="H13" s="153" t="s">
        <v>75</v>
      </c>
      <c r="I13" s="143" t="s">
        <v>75</v>
      </c>
      <c r="J13" s="152" t="s">
        <v>75</v>
      </c>
      <c r="K13" s="154" t="s">
        <v>75</v>
      </c>
      <c r="L13" s="155" t="s">
        <v>75</v>
      </c>
      <c r="M13" s="145" t="s">
        <v>75</v>
      </c>
      <c r="N13" s="152" t="s">
        <v>75</v>
      </c>
      <c r="O13" s="154" t="s">
        <v>75</v>
      </c>
      <c r="P13" s="154" t="s">
        <v>75</v>
      </c>
      <c r="Q13" s="155" t="s">
        <v>75</v>
      </c>
      <c r="R13" s="146" t="s">
        <v>75</v>
      </c>
      <c r="S13" s="156" t="s">
        <v>75</v>
      </c>
      <c r="T13" s="153" t="s">
        <v>75</v>
      </c>
      <c r="U13" s="153" t="s">
        <v>75</v>
      </c>
      <c r="V13" s="148" t="s">
        <v>75</v>
      </c>
      <c r="W13" s="156" t="s">
        <v>75</v>
      </c>
      <c r="X13" s="153" t="s">
        <v>75</v>
      </c>
      <c r="Y13" s="153" t="s">
        <v>75</v>
      </c>
      <c r="Z13" s="153" t="s">
        <v>75</v>
      </c>
      <c r="AA13" s="72" t="s">
        <v>75</v>
      </c>
      <c r="AB13" s="154" t="s">
        <v>75</v>
      </c>
      <c r="AC13" s="154" t="s">
        <v>75</v>
      </c>
      <c r="AD13" s="154" t="s">
        <v>75</v>
      </c>
      <c r="AE13" s="73"/>
      <c r="AF13" s="157" t="s">
        <v>75</v>
      </c>
      <c r="AG13" s="267" t="s">
        <v>75</v>
      </c>
      <c r="AH13" s="158" t="s">
        <v>75</v>
      </c>
      <c r="AI13" s="154" t="s">
        <v>75</v>
      </c>
      <c r="AJ13" s="154" t="s">
        <v>75</v>
      </c>
      <c r="AK13" s="154" t="s">
        <v>75</v>
      </c>
      <c r="AL13" s="154" t="s">
        <v>75</v>
      </c>
      <c r="AM13" s="267" t="s">
        <v>75</v>
      </c>
    </row>
    <row r="14" spans="1:39" ht="24" x14ac:dyDescent="0.2">
      <c r="A14" s="116" t="str">
        <f>OVERALL!L$1</f>
        <v>AGED CARE 10</v>
      </c>
      <c r="B14" s="140" t="s">
        <v>75</v>
      </c>
      <c r="C14" s="149" t="s">
        <v>75</v>
      </c>
      <c r="D14" s="142" t="s">
        <v>75</v>
      </c>
      <c r="E14" s="150" t="s">
        <v>75</v>
      </c>
      <c r="F14" s="151" t="s">
        <v>75</v>
      </c>
      <c r="G14" s="152" t="s">
        <v>75</v>
      </c>
      <c r="H14" s="153" t="s">
        <v>75</v>
      </c>
      <c r="I14" s="143" t="s">
        <v>75</v>
      </c>
      <c r="J14" s="152" t="s">
        <v>75</v>
      </c>
      <c r="K14" s="154" t="s">
        <v>75</v>
      </c>
      <c r="L14" s="155" t="s">
        <v>75</v>
      </c>
      <c r="M14" s="145" t="s">
        <v>75</v>
      </c>
      <c r="N14" s="152" t="s">
        <v>75</v>
      </c>
      <c r="O14" s="154" t="s">
        <v>75</v>
      </c>
      <c r="P14" s="154" t="s">
        <v>75</v>
      </c>
      <c r="Q14" s="155" t="s">
        <v>75</v>
      </c>
      <c r="R14" s="146" t="s">
        <v>75</v>
      </c>
      <c r="S14" s="156" t="s">
        <v>75</v>
      </c>
      <c r="T14" s="153" t="s">
        <v>75</v>
      </c>
      <c r="U14" s="153" t="s">
        <v>75</v>
      </c>
      <c r="V14" s="148" t="s">
        <v>75</v>
      </c>
      <c r="W14" s="156" t="s">
        <v>75</v>
      </c>
      <c r="X14" s="153" t="s">
        <v>75</v>
      </c>
      <c r="Y14" s="153" t="s">
        <v>75</v>
      </c>
      <c r="Z14" s="153" t="s">
        <v>75</v>
      </c>
      <c r="AA14" s="72" t="s">
        <v>75</v>
      </c>
      <c r="AB14" s="154" t="s">
        <v>75</v>
      </c>
      <c r="AC14" s="154" t="s">
        <v>75</v>
      </c>
      <c r="AD14" s="154" t="s">
        <v>75</v>
      </c>
      <c r="AE14" s="73"/>
      <c r="AF14" s="157" t="s">
        <v>75</v>
      </c>
      <c r="AG14" s="267" t="s">
        <v>75</v>
      </c>
      <c r="AH14" s="158" t="s">
        <v>75</v>
      </c>
      <c r="AI14" s="154" t="s">
        <v>75</v>
      </c>
      <c r="AJ14" s="154" t="s">
        <v>75</v>
      </c>
      <c r="AK14" s="154" t="s">
        <v>75</v>
      </c>
      <c r="AL14" s="154" t="s">
        <v>75</v>
      </c>
      <c r="AM14" s="267" t="s">
        <v>75</v>
      </c>
    </row>
    <row r="15" spans="1:39" ht="24" x14ac:dyDescent="0.2">
      <c r="A15" s="116" t="str">
        <f>OVERALL!M$1</f>
        <v>AGED CARE 11</v>
      </c>
      <c r="B15" s="140" t="s">
        <v>75</v>
      </c>
      <c r="C15" s="141" t="s">
        <v>75</v>
      </c>
      <c r="D15" s="142" t="s">
        <v>75</v>
      </c>
      <c r="E15" s="70" t="s">
        <v>75</v>
      </c>
      <c r="F15" s="71" t="s">
        <v>75</v>
      </c>
      <c r="G15" s="81" t="s">
        <v>75</v>
      </c>
      <c r="H15" s="83" t="s">
        <v>75</v>
      </c>
      <c r="I15" s="143" t="s">
        <v>75</v>
      </c>
      <c r="J15" s="81" t="s">
        <v>75</v>
      </c>
      <c r="K15" s="82" t="s">
        <v>75</v>
      </c>
      <c r="L15" s="144" t="s">
        <v>75</v>
      </c>
      <c r="M15" s="145" t="s">
        <v>75</v>
      </c>
      <c r="N15" s="81" t="s">
        <v>75</v>
      </c>
      <c r="O15" s="82" t="s">
        <v>75</v>
      </c>
      <c r="P15" s="82" t="s">
        <v>75</v>
      </c>
      <c r="Q15" s="144" t="s">
        <v>75</v>
      </c>
      <c r="R15" s="146" t="s">
        <v>75</v>
      </c>
      <c r="S15" s="147" t="s">
        <v>75</v>
      </c>
      <c r="T15" s="83" t="s">
        <v>75</v>
      </c>
      <c r="U15" s="83" t="s">
        <v>75</v>
      </c>
      <c r="V15" s="148" t="s">
        <v>75</v>
      </c>
      <c r="W15" s="147" t="s">
        <v>75</v>
      </c>
      <c r="X15" s="83" t="s">
        <v>75</v>
      </c>
      <c r="Y15" s="83" t="s">
        <v>75</v>
      </c>
      <c r="Z15" s="83" t="s">
        <v>75</v>
      </c>
      <c r="AA15" s="72" t="s">
        <v>75</v>
      </c>
      <c r="AB15" s="82" t="s">
        <v>75</v>
      </c>
      <c r="AC15" s="82" t="s">
        <v>75</v>
      </c>
      <c r="AD15" s="82" t="s">
        <v>75</v>
      </c>
      <c r="AE15" s="73"/>
      <c r="AF15" s="84" t="s">
        <v>75</v>
      </c>
      <c r="AG15" s="268" t="s">
        <v>75</v>
      </c>
      <c r="AH15" s="85" t="s">
        <v>75</v>
      </c>
      <c r="AI15" s="82" t="s">
        <v>75</v>
      </c>
      <c r="AJ15" s="82" t="s">
        <v>75</v>
      </c>
      <c r="AK15" s="82" t="s">
        <v>75</v>
      </c>
      <c r="AL15" s="82" t="s">
        <v>75</v>
      </c>
      <c r="AM15" s="268" t="s">
        <v>75</v>
      </c>
    </row>
    <row r="16" spans="1:39" ht="24" x14ac:dyDescent="0.2">
      <c r="A16" s="116" t="str">
        <f>OVERALL!N$1</f>
        <v>AGED CARE 12</v>
      </c>
      <c r="B16" s="140" t="s">
        <v>75</v>
      </c>
      <c r="C16" s="149" t="s">
        <v>75</v>
      </c>
      <c r="D16" s="142" t="s">
        <v>75</v>
      </c>
      <c r="E16" s="150" t="s">
        <v>75</v>
      </c>
      <c r="F16" s="151" t="s">
        <v>75</v>
      </c>
      <c r="G16" s="152" t="s">
        <v>75</v>
      </c>
      <c r="H16" s="153" t="s">
        <v>75</v>
      </c>
      <c r="I16" s="143" t="s">
        <v>75</v>
      </c>
      <c r="J16" s="152" t="s">
        <v>75</v>
      </c>
      <c r="K16" s="154" t="s">
        <v>75</v>
      </c>
      <c r="L16" s="155" t="s">
        <v>75</v>
      </c>
      <c r="M16" s="145" t="s">
        <v>75</v>
      </c>
      <c r="N16" s="152" t="s">
        <v>75</v>
      </c>
      <c r="O16" s="154" t="s">
        <v>75</v>
      </c>
      <c r="P16" s="154" t="s">
        <v>75</v>
      </c>
      <c r="Q16" s="155" t="s">
        <v>75</v>
      </c>
      <c r="R16" s="146" t="s">
        <v>75</v>
      </c>
      <c r="S16" s="156" t="s">
        <v>75</v>
      </c>
      <c r="T16" s="153" t="s">
        <v>75</v>
      </c>
      <c r="U16" s="153" t="s">
        <v>75</v>
      </c>
      <c r="V16" s="148" t="s">
        <v>75</v>
      </c>
      <c r="W16" s="156" t="s">
        <v>75</v>
      </c>
      <c r="X16" s="153" t="s">
        <v>75</v>
      </c>
      <c r="Y16" s="153" t="s">
        <v>75</v>
      </c>
      <c r="Z16" s="153" t="s">
        <v>75</v>
      </c>
      <c r="AA16" s="72" t="s">
        <v>75</v>
      </c>
      <c r="AB16" s="154" t="s">
        <v>75</v>
      </c>
      <c r="AC16" s="154" t="s">
        <v>75</v>
      </c>
      <c r="AD16" s="154" t="s">
        <v>75</v>
      </c>
      <c r="AE16" s="73"/>
      <c r="AF16" s="157" t="s">
        <v>75</v>
      </c>
      <c r="AG16" s="267" t="s">
        <v>75</v>
      </c>
      <c r="AH16" s="158" t="s">
        <v>75</v>
      </c>
      <c r="AI16" s="154" t="s">
        <v>75</v>
      </c>
      <c r="AJ16" s="154" t="s">
        <v>75</v>
      </c>
      <c r="AK16" s="154" t="s">
        <v>75</v>
      </c>
      <c r="AL16" s="154" t="s">
        <v>75</v>
      </c>
      <c r="AM16" s="267" t="s">
        <v>75</v>
      </c>
    </row>
    <row r="17" spans="1:39" ht="24" x14ac:dyDescent="0.2">
      <c r="A17" s="116" t="str">
        <f>OVERALL!O$1</f>
        <v>AGED CARE 13</v>
      </c>
      <c r="B17" s="140" t="s">
        <v>75</v>
      </c>
      <c r="C17" s="141" t="s">
        <v>75</v>
      </c>
      <c r="D17" s="142" t="s">
        <v>75</v>
      </c>
      <c r="E17" s="70" t="s">
        <v>75</v>
      </c>
      <c r="F17" s="71" t="s">
        <v>75</v>
      </c>
      <c r="G17" s="81" t="s">
        <v>75</v>
      </c>
      <c r="H17" s="83" t="s">
        <v>75</v>
      </c>
      <c r="I17" s="143" t="s">
        <v>75</v>
      </c>
      <c r="J17" s="81" t="s">
        <v>75</v>
      </c>
      <c r="K17" s="82" t="s">
        <v>75</v>
      </c>
      <c r="L17" s="144" t="s">
        <v>75</v>
      </c>
      <c r="M17" s="145" t="s">
        <v>75</v>
      </c>
      <c r="N17" s="81" t="s">
        <v>75</v>
      </c>
      <c r="O17" s="82" t="s">
        <v>75</v>
      </c>
      <c r="P17" s="82" t="s">
        <v>75</v>
      </c>
      <c r="Q17" s="144" t="s">
        <v>75</v>
      </c>
      <c r="R17" s="146" t="s">
        <v>75</v>
      </c>
      <c r="S17" s="147" t="s">
        <v>75</v>
      </c>
      <c r="T17" s="83" t="s">
        <v>75</v>
      </c>
      <c r="U17" s="83" t="s">
        <v>75</v>
      </c>
      <c r="V17" s="148" t="s">
        <v>75</v>
      </c>
      <c r="W17" s="147" t="s">
        <v>75</v>
      </c>
      <c r="X17" s="83" t="s">
        <v>75</v>
      </c>
      <c r="Y17" s="83" t="s">
        <v>75</v>
      </c>
      <c r="Z17" s="83" t="s">
        <v>75</v>
      </c>
      <c r="AA17" s="72" t="s">
        <v>75</v>
      </c>
      <c r="AB17" s="82" t="s">
        <v>75</v>
      </c>
      <c r="AC17" s="82" t="s">
        <v>75</v>
      </c>
      <c r="AD17" s="82" t="s">
        <v>75</v>
      </c>
      <c r="AE17" s="73"/>
      <c r="AF17" s="84" t="s">
        <v>75</v>
      </c>
      <c r="AG17" s="268" t="s">
        <v>75</v>
      </c>
      <c r="AH17" s="85" t="s">
        <v>75</v>
      </c>
      <c r="AI17" s="82" t="s">
        <v>75</v>
      </c>
      <c r="AJ17" s="82" t="s">
        <v>75</v>
      </c>
      <c r="AK17" s="82" t="s">
        <v>75</v>
      </c>
      <c r="AL17" s="82" t="s">
        <v>75</v>
      </c>
      <c r="AM17" s="268" t="s">
        <v>75</v>
      </c>
    </row>
    <row r="18" spans="1:39" ht="24" x14ac:dyDescent="0.2">
      <c r="A18" s="116" t="str">
        <f>OVERALL!P$1</f>
        <v>AGED CARE 14</v>
      </c>
      <c r="B18" s="140" t="s">
        <v>75</v>
      </c>
      <c r="C18" s="149" t="s">
        <v>75</v>
      </c>
      <c r="D18" s="142" t="s">
        <v>75</v>
      </c>
      <c r="E18" s="150" t="s">
        <v>75</v>
      </c>
      <c r="F18" s="151" t="s">
        <v>75</v>
      </c>
      <c r="G18" s="152" t="s">
        <v>75</v>
      </c>
      <c r="H18" s="153" t="s">
        <v>75</v>
      </c>
      <c r="I18" s="143" t="s">
        <v>75</v>
      </c>
      <c r="J18" s="152" t="s">
        <v>75</v>
      </c>
      <c r="K18" s="154" t="s">
        <v>75</v>
      </c>
      <c r="L18" s="155" t="s">
        <v>75</v>
      </c>
      <c r="M18" s="145" t="s">
        <v>75</v>
      </c>
      <c r="N18" s="152" t="s">
        <v>75</v>
      </c>
      <c r="O18" s="154" t="s">
        <v>75</v>
      </c>
      <c r="P18" s="154" t="s">
        <v>75</v>
      </c>
      <c r="Q18" s="155" t="s">
        <v>75</v>
      </c>
      <c r="R18" s="146" t="s">
        <v>75</v>
      </c>
      <c r="S18" s="156" t="s">
        <v>75</v>
      </c>
      <c r="T18" s="153" t="s">
        <v>75</v>
      </c>
      <c r="U18" s="153" t="s">
        <v>75</v>
      </c>
      <c r="V18" s="148" t="s">
        <v>75</v>
      </c>
      <c r="W18" s="156" t="s">
        <v>75</v>
      </c>
      <c r="X18" s="153" t="s">
        <v>75</v>
      </c>
      <c r="Y18" s="153" t="s">
        <v>75</v>
      </c>
      <c r="Z18" s="153" t="s">
        <v>75</v>
      </c>
      <c r="AA18" s="72" t="s">
        <v>75</v>
      </c>
      <c r="AB18" s="154" t="s">
        <v>75</v>
      </c>
      <c r="AC18" s="154" t="s">
        <v>75</v>
      </c>
      <c r="AD18" s="154" t="s">
        <v>75</v>
      </c>
      <c r="AE18" s="73"/>
      <c r="AF18" s="157" t="s">
        <v>75</v>
      </c>
      <c r="AG18" s="267" t="s">
        <v>75</v>
      </c>
      <c r="AH18" s="158" t="s">
        <v>75</v>
      </c>
      <c r="AI18" s="154" t="s">
        <v>75</v>
      </c>
      <c r="AJ18" s="154" t="s">
        <v>75</v>
      </c>
      <c r="AK18" s="154" t="s">
        <v>75</v>
      </c>
      <c r="AL18" s="154" t="s">
        <v>75</v>
      </c>
      <c r="AM18" s="267" t="s">
        <v>75</v>
      </c>
    </row>
    <row r="19" spans="1:39" ht="24" x14ac:dyDescent="0.2">
      <c r="A19" s="116" t="str">
        <f>OVERALL!Q$1</f>
        <v>AGED CARE 15</v>
      </c>
      <c r="B19" s="140" t="s">
        <v>75</v>
      </c>
      <c r="C19" s="141" t="s">
        <v>75</v>
      </c>
      <c r="D19" s="142" t="s">
        <v>75</v>
      </c>
      <c r="E19" s="70" t="s">
        <v>75</v>
      </c>
      <c r="F19" s="71" t="s">
        <v>75</v>
      </c>
      <c r="G19" s="81" t="s">
        <v>75</v>
      </c>
      <c r="H19" s="83" t="s">
        <v>75</v>
      </c>
      <c r="I19" s="143" t="s">
        <v>75</v>
      </c>
      <c r="J19" s="81" t="s">
        <v>75</v>
      </c>
      <c r="K19" s="82" t="s">
        <v>75</v>
      </c>
      <c r="L19" s="144" t="s">
        <v>75</v>
      </c>
      <c r="M19" s="145" t="s">
        <v>75</v>
      </c>
      <c r="N19" s="81" t="s">
        <v>75</v>
      </c>
      <c r="O19" s="82" t="s">
        <v>75</v>
      </c>
      <c r="P19" s="82" t="s">
        <v>75</v>
      </c>
      <c r="Q19" s="144" t="s">
        <v>75</v>
      </c>
      <c r="R19" s="146" t="s">
        <v>75</v>
      </c>
      <c r="S19" s="147" t="s">
        <v>75</v>
      </c>
      <c r="T19" s="83" t="s">
        <v>75</v>
      </c>
      <c r="U19" s="83" t="s">
        <v>75</v>
      </c>
      <c r="V19" s="148" t="s">
        <v>75</v>
      </c>
      <c r="W19" s="147" t="s">
        <v>75</v>
      </c>
      <c r="X19" s="83" t="s">
        <v>75</v>
      </c>
      <c r="Y19" s="83" t="s">
        <v>75</v>
      </c>
      <c r="Z19" s="83" t="s">
        <v>75</v>
      </c>
      <c r="AA19" s="72" t="s">
        <v>75</v>
      </c>
      <c r="AB19" s="82" t="s">
        <v>75</v>
      </c>
      <c r="AC19" s="82" t="s">
        <v>75</v>
      </c>
      <c r="AD19" s="82" t="s">
        <v>75</v>
      </c>
      <c r="AE19" s="73"/>
      <c r="AF19" s="84" t="s">
        <v>75</v>
      </c>
      <c r="AG19" s="268" t="s">
        <v>75</v>
      </c>
      <c r="AH19" s="85" t="s">
        <v>75</v>
      </c>
      <c r="AI19" s="82" t="s">
        <v>75</v>
      </c>
      <c r="AJ19" s="82" t="s">
        <v>75</v>
      </c>
      <c r="AK19" s="82" t="s">
        <v>75</v>
      </c>
      <c r="AL19" s="82" t="s">
        <v>75</v>
      </c>
      <c r="AM19" s="268" t="s">
        <v>75</v>
      </c>
    </row>
    <row r="20" spans="1:39" ht="24" x14ac:dyDescent="0.2">
      <c r="A20" s="116" t="str">
        <f>OVERALL!R$1</f>
        <v>AGED CARE 16</v>
      </c>
      <c r="B20" s="140" t="s">
        <v>75</v>
      </c>
      <c r="C20" s="149" t="s">
        <v>75</v>
      </c>
      <c r="D20" s="142" t="s">
        <v>75</v>
      </c>
      <c r="E20" s="150" t="s">
        <v>75</v>
      </c>
      <c r="F20" s="151" t="s">
        <v>75</v>
      </c>
      <c r="G20" s="152" t="s">
        <v>75</v>
      </c>
      <c r="H20" s="153" t="s">
        <v>75</v>
      </c>
      <c r="I20" s="143" t="s">
        <v>75</v>
      </c>
      <c r="J20" s="152" t="s">
        <v>75</v>
      </c>
      <c r="K20" s="154" t="s">
        <v>75</v>
      </c>
      <c r="L20" s="155" t="s">
        <v>75</v>
      </c>
      <c r="M20" s="145" t="s">
        <v>75</v>
      </c>
      <c r="N20" s="152" t="s">
        <v>75</v>
      </c>
      <c r="O20" s="154" t="s">
        <v>75</v>
      </c>
      <c r="P20" s="154" t="s">
        <v>75</v>
      </c>
      <c r="Q20" s="155" t="s">
        <v>75</v>
      </c>
      <c r="R20" s="146" t="s">
        <v>75</v>
      </c>
      <c r="S20" s="156" t="s">
        <v>75</v>
      </c>
      <c r="T20" s="153" t="s">
        <v>75</v>
      </c>
      <c r="U20" s="153" t="s">
        <v>75</v>
      </c>
      <c r="V20" s="148" t="s">
        <v>75</v>
      </c>
      <c r="W20" s="156" t="s">
        <v>75</v>
      </c>
      <c r="X20" s="153" t="s">
        <v>75</v>
      </c>
      <c r="Y20" s="153" t="s">
        <v>75</v>
      </c>
      <c r="Z20" s="153" t="s">
        <v>75</v>
      </c>
      <c r="AA20" s="72" t="s">
        <v>75</v>
      </c>
      <c r="AB20" s="154" t="s">
        <v>75</v>
      </c>
      <c r="AC20" s="154" t="s">
        <v>75</v>
      </c>
      <c r="AD20" s="154" t="s">
        <v>75</v>
      </c>
      <c r="AE20" s="73"/>
      <c r="AF20" s="157" t="s">
        <v>75</v>
      </c>
      <c r="AG20" s="267" t="s">
        <v>75</v>
      </c>
      <c r="AH20" s="158" t="s">
        <v>75</v>
      </c>
      <c r="AI20" s="154" t="s">
        <v>75</v>
      </c>
      <c r="AJ20" s="154" t="s">
        <v>75</v>
      </c>
      <c r="AK20" s="154" t="s">
        <v>75</v>
      </c>
      <c r="AL20" s="154" t="s">
        <v>75</v>
      </c>
      <c r="AM20" s="267" t="s">
        <v>75</v>
      </c>
    </row>
    <row r="21" spans="1:39" ht="24" x14ac:dyDescent="0.2">
      <c r="A21" s="116" t="str">
        <f>OVERALL!S$1</f>
        <v>AGED CARE 17</v>
      </c>
      <c r="B21" s="140" t="s">
        <v>75</v>
      </c>
      <c r="C21" s="141" t="s">
        <v>75</v>
      </c>
      <c r="D21" s="142" t="s">
        <v>75</v>
      </c>
      <c r="E21" s="70" t="s">
        <v>75</v>
      </c>
      <c r="F21" s="71" t="s">
        <v>75</v>
      </c>
      <c r="G21" s="81" t="s">
        <v>75</v>
      </c>
      <c r="H21" s="83" t="s">
        <v>75</v>
      </c>
      <c r="I21" s="143" t="s">
        <v>75</v>
      </c>
      <c r="J21" s="81" t="s">
        <v>75</v>
      </c>
      <c r="K21" s="82" t="s">
        <v>75</v>
      </c>
      <c r="L21" s="144" t="s">
        <v>75</v>
      </c>
      <c r="M21" s="145" t="s">
        <v>75</v>
      </c>
      <c r="N21" s="81" t="s">
        <v>75</v>
      </c>
      <c r="O21" s="82" t="s">
        <v>75</v>
      </c>
      <c r="P21" s="82" t="s">
        <v>75</v>
      </c>
      <c r="Q21" s="144" t="s">
        <v>75</v>
      </c>
      <c r="R21" s="146" t="s">
        <v>75</v>
      </c>
      <c r="S21" s="147" t="s">
        <v>75</v>
      </c>
      <c r="T21" s="83" t="s">
        <v>75</v>
      </c>
      <c r="U21" s="83" t="s">
        <v>75</v>
      </c>
      <c r="V21" s="148" t="s">
        <v>75</v>
      </c>
      <c r="W21" s="147" t="s">
        <v>75</v>
      </c>
      <c r="X21" s="83" t="s">
        <v>75</v>
      </c>
      <c r="Y21" s="83" t="s">
        <v>75</v>
      </c>
      <c r="Z21" s="83" t="s">
        <v>75</v>
      </c>
      <c r="AA21" s="72" t="s">
        <v>75</v>
      </c>
      <c r="AB21" s="82" t="s">
        <v>75</v>
      </c>
      <c r="AC21" s="82" t="s">
        <v>75</v>
      </c>
      <c r="AD21" s="82" t="s">
        <v>75</v>
      </c>
      <c r="AE21" s="73"/>
      <c r="AF21" s="84" t="s">
        <v>75</v>
      </c>
      <c r="AG21" s="268" t="s">
        <v>75</v>
      </c>
      <c r="AH21" s="85" t="s">
        <v>75</v>
      </c>
      <c r="AI21" s="82" t="s">
        <v>75</v>
      </c>
      <c r="AJ21" s="82" t="s">
        <v>75</v>
      </c>
      <c r="AK21" s="82" t="s">
        <v>75</v>
      </c>
      <c r="AL21" s="82" t="s">
        <v>75</v>
      </c>
      <c r="AM21" s="268" t="s">
        <v>75</v>
      </c>
    </row>
    <row r="22" spans="1:39" ht="24" x14ac:dyDescent="0.2">
      <c r="A22" s="116" t="str">
        <f>OVERALL!T$1</f>
        <v>AGED CARE 18</v>
      </c>
      <c r="B22" s="140" t="s">
        <v>75</v>
      </c>
      <c r="C22" s="149" t="s">
        <v>75</v>
      </c>
      <c r="D22" s="142" t="s">
        <v>75</v>
      </c>
      <c r="E22" s="150" t="s">
        <v>75</v>
      </c>
      <c r="F22" s="151" t="s">
        <v>75</v>
      </c>
      <c r="G22" s="152" t="s">
        <v>75</v>
      </c>
      <c r="H22" s="153" t="s">
        <v>75</v>
      </c>
      <c r="I22" s="143" t="s">
        <v>75</v>
      </c>
      <c r="J22" s="152" t="s">
        <v>75</v>
      </c>
      <c r="K22" s="154" t="s">
        <v>75</v>
      </c>
      <c r="L22" s="155" t="s">
        <v>75</v>
      </c>
      <c r="M22" s="145" t="s">
        <v>75</v>
      </c>
      <c r="N22" s="152" t="s">
        <v>75</v>
      </c>
      <c r="O22" s="154" t="s">
        <v>75</v>
      </c>
      <c r="P22" s="154" t="s">
        <v>75</v>
      </c>
      <c r="Q22" s="155" t="s">
        <v>75</v>
      </c>
      <c r="R22" s="146" t="s">
        <v>75</v>
      </c>
      <c r="S22" s="156" t="s">
        <v>75</v>
      </c>
      <c r="T22" s="153" t="s">
        <v>75</v>
      </c>
      <c r="U22" s="153" t="s">
        <v>75</v>
      </c>
      <c r="V22" s="148" t="s">
        <v>75</v>
      </c>
      <c r="W22" s="156" t="s">
        <v>75</v>
      </c>
      <c r="X22" s="153" t="s">
        <v>75</v>
      </c>
      <c r="Y22" s="153" t="s">
        <v>75</v>
      </c>
      <c r="Z22" s="153" t="s">
        <v>75</v>
      </c>
      <c r="AA22" s="72" t="s">
        <v>75</v>
      </c>
      <c r="AB22" s="154" t="s">
        <v>75</v>
      </c>
      <c r="AC22" s="154" t="s">
        <v>75</v>
      </c>
      <c r="AD22" s="154" t="s">
        <v>75</v>
      </c>
      <c r="AE22" s="73"/>
      <c r="AF22" s="157" t="s">
        <v>75</v>
      </c>
      <c r="AG22" s="267" t="s">
        <v>75</v>
      </c>
      <c r="AH22" s="158" t="s">
        <v>75</v>
      </c>
      <c r="AI22" s="154" t="s">
        <v>75</v>
      </c>
      <c r="AJ22" s="154" t="s">
        <v>75</v>
      </c>
      <c r="AK22" s="154" t="s">
        <v>75</v>
      </c>
      <c r="AL22" s="154" t="s">
        <v>75</v>
      </c>
      <c r="AM22" s="267" t="s">
        <v>75</v>
      </c>
    </row>
    <row r="23" spans="1:39" ht="24" x14ac:dyDescent="0.2">
      <c r="A23" s="116" t="str">
        <f>OVERALL!U$1</f>
        <v>AGED CARE 19</v>
      </c>
      <c r="B23" s="140" t="s">
        <v>75</v>
      </c>
      <c r="C23" s="141" t="s">
        <v>75</v>
      </c>
      <c r="D23" s="142" t="s">
        <v>75</v>
      </c>
      <c r="E23" s="70" t="s">
        <v>75</v>
      </c>
      <c r="F23" s="71" t="s">
        <v>75</v>
      </c>
      <c r="G23" s="81" t="s">
        <v>75</v>
      </c>
      <c r="H23" s="83" t="s">
        <v>75</v>
      </c>
      <c r="I23" s="143" t="s">
        <v>75</v>
      </c>
      <c r="J23" s="81" t="s">
        <v>75</v>
      </c>
      <c r="K23" s="82" t="s">
        <v>75</v>
      </c>
      <c r="L23" s="144" t="s">
        <v>75</v>
      </c>
      <c r="M23" s="145" t="s">
        <v>75</v>
      </c>
      <c r="N23" s="81" t="s">
        <v>75</v>
      </c>
      <c r="O23" s="82" t="s">
        <v>75</v>
      </c>
      <c r="P23" s="82" t="s">
        <v>75</v>
      </c>
      <c r="Q23" s="144" t="s">
        <v>75</v>
      </c>
      <c r="R23" s="146" t="s">
        <v>75</v>
      </c>
      <c r="S23" s="147" t="s">
        <v>75</v>
      </c>
      <c r="T23" s="83" t="s">
        <v>75</v>
      </c>
      <c r="U23" s="83" t="s">
        <v>75</v>
      </c>
      <c r="V23" s="148" t="s">
        <v>75</v>
      </c>
      <c r="W23" s="147" t="s">
        <v>75</v>
      </c>
      <c r="X23" s="83" t="s">
        <v>75</v>
      </c>
      <c r="Y23" s="83" t="s">
        <v>75</v>
      </c>
      <c r="Z23" s="83" t="s">
        <v>75</v>
      </c>
      <c r="AA23" s="72" t="s">
        <v>75</v>
      </c>
      <c r="AB23" s="82" t="s">
        <v>75</v>
      </c>
      <c r="AC23" s="82" t="s">
        <v>75</v>
      </c>
      <c r="AD23" s="82" t="s">
        <v>75</v>
      </c>
      <c r="AE23" s="73"/>
      <c r="AF23" s="84" t="s">
        <v>75</v>
      </c>
      <c r="AG23" s="268" t="s">
        <v>75</v>
      </c>
      <c r="AH23" s="85" t="s">
        <v>75</v>
      </c>
      <c r="AI23" s="82" t="s">
        <v>75</v>
      </c>
      <c r="AJ23" s="82" t="s">
        <v>75</v>
      </c>
      <c r="AK23" s="82" t="s">
        <v>75</v>
      </c>
      <c r="AL23" s="82" t="s">
        <v>75</v>
      </c>
      <c r="AM23" s="268" t="s">
        <v>75</v>
      </c>
    </row>
    <row r="24" spans="1:39" ht="24" x14ac:dyDescent="0.2">
      <c r="A24" s="116" t="str">
        <f>OVERALL!V$1</f>
        <v>AGED CARE 20</v>
      </c>
      <c r="B24" s="140" t="s">
        <v>75</v>
      </c>
      <c r="C24" s="149" t="s">
        <v>75</v>
      </c>
      <c r="D24" s="142" t="s">
        <v>75</v>
      </c>
      <c r="E24" s="150" t="s">
        <v>75</v>
      </c>
      <c r="F24" s="151" t="s">
        <v>75</v>
      </c>
      <c r="G24" s="152" t="s">
        <v>75</v>
      </c>
      <c r="H24" s="153" t="s">
        <v>75</v>
      </c>
      <c r="I24" s="143" t="s">
        <v>75</v>
      </c>
      <c r="J24" s="152" t="s">
        <v>75</v>
      </c>
      <c r="K24" s="154" t="s">
        <v>75</v>
      </c>
      <c r="L24" s="155" t="s">
        <v>75</v>
      </c>
      <c r="M24" s="145" t="s">
        <v>75</v>
      </c>
      <c r="N24" s="152" t="s">
        <v>75</v>
      </c>
      <c r="O24" s="154" t="s">
        <v>75</v>
      </c>
      <c r="P24" s="154" t="s">
        <v>75</v>
      </c>
      <c r="Q24" s="155" t="s">
        <v>75</v>
      </c>
      <c r="R24" s="146" t="s">
        <v>75</v>
      </c>
      <c r="S24" s="156" t="s">
        <v>75</v>
      </c>
      <c r="T24" s="153" t="s">
        <v>75</v>
      </c>
      <c r="U24" s="153" t="s">
        <v>75</v>
      </c>
      <c r="V24" s="148" t="s">
        <v>75</v>
      </c>
      <c r="W24" s="156" t="s">
        <v>75</v>
      </c>
      <c r="X24" s="153" t="s">
        <v>75</v>
      </c>
      <c r="Y24" s="153" t="s">
        <v>75</v>
      </c>
      <c r="Z24" s="153" t="s">
        <v>75</v>
      </c>
      <c r="AA24" s="72" t="s">
        <v>75</v>
      </c>
      <c r="AB24" s="154" t="s">
        <v>75</v>
      </c>
      <c r="AC24" s="154" t="s">
        <v>75</v>
      </c>
      <c r="AD24" s="154" t="s">
        <v>75</v>
      </c>
      <c r="AE24" s="73"/>
      <c r="AF24" s="157" t="s">
        <v>75</v>
      </c>
      <c r="AG24" s="267" t="s">
        <v>75</v>
      </c>
      <c r="AH24" s="158" t="s">
        <v>75</v>
      </c>
      <c r="AI24" s="154" t="s">
        <v>75</v>
      </c>
      <c r="AJ24" s="154" t="s">
        <v>75</v>
      </c>
      <c r="AK24" s="154" t="s">
        <v>75</v>
      </c>
      <c r="AL24" s="154" t="s">
        <v>75</v>
      </c>
      <c r="AM24" s="267" t="s">
        <v>75</v>
      </c>
    </row>
    <row r="25" spans="1:39" ht="24" x14ac:dyDescent="0.2">
      <c r="A25" s="116" t="str">
        <f>OVERALL!W$1</f>
        <v>AGED CARE 21</v>
      </c>
      <c r="B25" s="140" t="s">
        <v>75</v>
      </c>
      <c r="C25" s="141" t="s">
        <v>75</v>
      </c>
      <c r="D25" s="142" t="s">
        <v>75</v>
      </c>
      <c r="E25" s="70" t="s">
        <v>75</v>
      </c>
      <c r="F25" s="71" t="s">
        <v>75</v>
      </c>
      <c r="G25" s="81" t="s">
        <v>75</v>
      </c>
      <c r="H25" s="83" t="s">
        <v>75</v>
      </c>
      <c r="I25" s="143" t="s">
        <v>75</v>
      </c>
      <c r="J25" s="81" t="s">
        <v>75</v>
      </c>
      <c r="K25" s="82" t="s">
        <v>75</v>
      </c>
      <c r="L25" s="144" t="s">
        <v>75</v>
      </c>
      <c r="M25" s="145" t="s">
        <v>75</v>
      </c>
      <c r="N25" s="81" t="s">
        <v>75</v>
      </c>
      <c r="O25" s="82" t="s">
        <v>75</v>
      </c>
      <c r="P25" s="82" t="s">
        <v>75</v>
      </c>
      <c r="Q25" s="144" t="s">
        <v>75</v>
      </c>
      <c r="R25" s="146" t="s">
        <v>75</v>
      </c>
      <c r="S25" s="147" t="s">
        <v>75</v>
      </c>
      <c r="T25" s="83" t="s">
        <v>75</v>
      </c>
      <c r="U25" s="83" t="s">
        <v>75</v>
      </c>
      <c r="V25" s="148" t="s">
        <v>75</v>
      </c>
      <c r="W25" s="147" t="s">
        <v>75</v>
      </c>
      <c r="X25" s="83" t="s">
        <v>75</v>
      </c>
      <c r="Y25" s="83" t="s">
        <v>75</v>
      </c>
      <c r="Z25" s="83" t="s">
        <v>75</v>
      </c>
      <c r="AA25" s="72" t="s">
        <v>75</v>
      </c>
      <c r="AB25" s="82" t="s">
        <v>75</v>
      </c>
      <c r="AC25" s="82" t="s">
        <v>75</v>
      </c>
      <c r="AD25" s="82" t="s">
        <v>75</v>
      </c>
      <c r="AE25" s="73"/>
      <c r="AF25" s="84" t="s">
        <v>75</v>
      </c>
      <c r="AG25" s="268" t="s">
        <v>75</v>
      </c>
      <c r="AH25" s="85" t="s">
        <v>75</v>
      </c>
      <c r="AI25" s="82" t="s">
        <v>75</v>
      </c>
      <c r="AJ25" s="82" t="s">
        <v>75</v>
      </c>
      <c r="AK25" s="82" t="s">
        <v>75</v>
      </c>
      <c r="AL25" s="82" t="s">
        <v>75</v>
      </c>
      <c r="AM25" s="268" t="s">
        <v>75</v>
      </c>
    </row>
    <row r="26" spans="1:39" ht="24" x14ac:dyDescent="0.2">
      <c r="A26" s="116" t="str">
        <f>OVERALL!X$1</f>
        <v>AGED CARE 22</v>
      </c>
      <c r="B26" s="140" t="s">
        <v>75</v>
      </c>
      <c r="C26" s="149" t="s">
        <v>75</v>
      </c>
      <c r="D26" s="142" t="s">
        <v>75</v>
      </c>
      <c r="E26" s="150" t="s">
        <v>75</v>
      </c>
      <c r="F26" s="151" t="s">
        <v>75</v>
      </c>
      <c r="G26" s="152" t="s">
        <v>75</v>
      </c>
      <c r="H26" s="153" t="s">
        <v>75</v>
      </c>
      <c r="I26" s="143" t="s">
        <v>75</v>
      </c>
      <c r="J26" s="152" t="s">
        <v>75</v>
      </c>
      <c r="K26" s="154" t="s">
        <v>75</v>
      </c>
      <c r="L26" s="155" t="s">
        <v>75</v>
      </c>
      <c r="M26" s="145" t="s">
        <v>75</v>
      </c>
      <c r="N26" s="152" t="s">
        <v>75</v>
      </c>
      <c r="O26" s="154" t="s">
        <v>75</v>
      </c>
      <c r="P26" s="154" t="s">
        <v>75</v>
      </c>
      <c r="Q26" s="155" t="s">
        <v>75</v>
      </c>
      <c r="R26" s="146" t="s">
        <v>75</v>
      </c>
      <c r="S26" s="156" t="s">
        <v>75</v>
      </c>
      <c r="T26" s="153" t="s">
        <v>75</v>
      </c>
      <c r="U26" s="153" t="s">
        <v>75</v>
      </c>
      <c r="V26" s="148" t="s">
        <v>75</v>
      </c>
      <c r="W26" s="156" t="s">
        <v>75</v>
      </c>
      <c r="X26" s="153" t="s">
        <v>75</v>
      </c>
      <c r="Y26" s="153" t="s">
        <v>75</v>
      </c>
      <c r="Z26" s="153" t="s">
        <v>75</v>
      </c>
      <c r="AA26" s="72" t="s">
        <v>75</v>
      </c>
      <c r="AB26" s="154" t="s">
        <v>75</v>
      </c>
      <c r="AC26" s="154" t="s">
        <v>75</v>
      </c>
      <c r="AD26" s="154" t="s">
        <v>75</v>
      </c>
      <c r="AE26" s="73"/>
      <c r="AF26" s="157" t="s">
        <v>75</v>
      </c>
      <c r="AG26" s="267" t="s">
        <v>75</v>
      </c>
      <c r="AH26" s="158" t="s">
        <v>75</v>
      </c>
      <c r="AI26" s="154" t="s">
        <v>75</v>
      </c>
      <c r="AJ26" s="154" t="s">
        <v>75</v>
      </c>
      <c r="AK26" s="154" t="s">
        <v>75</v>
      </c>
      <c r="AL26" s="154" t="s">
        <v>75</v>
      </c>
      <c r="AM26" s="267" t="s">
        <v>75</v>
      </c>
    </row>
    <row r="27" spans="1:39" ht="24" x14ac:dyDescent="0.2">
      <c r="A27" s="116" t="str">
        <f>OVERALL!Y$1</f>
        <v>AGED CARE 23</v>
      </c>
      <c r="B27" s="140" t="s">
        <v>75</v>
      </c>
      <c r="C27" s="141" t="s">
        <v>75</v>
      </c>
      <c r="D27" s="142" t="s">
        <v>75</v>
      </c>
      <c r="E27" s="70" t="s">
        <v>75</v>
      </c>
      <c r="F27" s="71" t="s">
        <v>75</v>
      </c>
      <c r="G27" s="81" t="s">
        <v>75</v>
      </c>
      <c r="H27" s="83" t="s">
        <v>75</v>
      </c>
      <c r="I27" s="143" t="s">
        <v>75</v>
      </c>
      <c r="J27" s="81" t="s">
        <v>75</v>
      </c>
      <c r="K27" s="82" t="s">
        <v>75</v>
      </c>
      <c r="L27" s="144" t="s">
        <v>75</v>
      </c>
      <c r="M27" s="145" t="s">
        <v>75</v>
      </c>
      <c r="N27" s="81" t="s">
        <v>75</v>
      </c>
      <c r="O27" s="82" t="s">
        <v>75</v>
      </c>
      <c r="P27" s="82" t="s">
        <v>75</v>
      </c>
      <c r="Q27" s="144" t="s">
        <v>75</v>
      </c>
      <c r="R27" s="146" t="s">
        <v>75</v>
      </c>
      <c r="S27" s="147" t="s">
        <v>75</v>
      </c>
      <c r="T27" s="83" t="s">
        <v>75</v>
      </c>
      <c r="U27" s="83" t="s">
        <v>75</v>
      </c>
      <c r="V27" s="148" t="s">
        <v>75</v>
      </c>
      <c r="W27" s="147" t="s">
        <v>75</v>
      </c>
      <c r="X27" s="83" t="s">
        <v>75</v>
      </c>
      <c r="Y27" s="83" t="s">
        <v>75</v>
      </c>
      <c r="Z27" s="83" t="s">
        <v>75</v>
      </c>
      <c r="AA27" s="72" t="s">
        <v>75</v>
      </c>
      <c r="AB27" s="82" t="s">
        <v>75</v>
      </c>
      <c r="AC27" s="82" t="s">
        <v>75</v>
      </c>
      <c r="AD27" s="82" t="s">
        <v>75</v>
      </c>
      <c r="AE27" s="73"/>
      <c r="AF27" s="84" t="s">
        <v>75</v>
      </c>
      <c r="AG27" s="268" t="s">
        <v>75</v>
      </c>
      <c r="AH27" s="85" t="s">
        <v>75</v>
      </c>
      <c r="AI27" s="82" t="s">
        <v>75</v>
      </c>
      <c r="AJ27" s="82" t="s">
        <v>75</v>
      </c>
      <c r="AK27" s="82" t="s">
        <v>75</v>
      </c>
      <c r="AL27" s="82" t="s">
        <v>75</v>
      </c>
      <c r="AM27" s="268" t="s">
        <v>75</v>
      </c>
    </row>
    <row r="28" spans="1:39" ht="24" x14ac:dyDescent="0.2">
      <c r="A28" s="116" t="str">
        <f>OVERALL!Z$1</f>
        <v>AGED CARE 24</v>
      </c>
      <c r="B28" s="140" t="s">
        <v>75</v>
      </c>
      <c r="C28" s="149" t="s">
        <v>75</v>
      </c>
      <c r="D28" s="142" t="s">
        <v>75</v>
      </c>
      <c r="E28" s="150" t="s">
        <v>75</v>
      </c>
      <c r="F28" s="151" t="s">
        <v>75</v>
      </c>
      <c r="G28" s="152" t="s">
        <v>75</v>
      </c>
      <c r="H28" s="153" t="s">
        <v>75</v>
      </c>
      <c r="I28" s="143" t="s">
        <v>75</v>
      </c>
      <c r="J28" s="152" t="s">
        <v>75</v>
      </c>
      <c r="K28" s="154" t="s">
        <v>75</v>
      </c>
      <c r="L28" s="155" t="s">
        <v>75</v>
      </c>
      <c r="M28" s="145" t="s">
        <v>75</v>
      </c>
      <c r="N28" s="152" t="s">
        <v>75</v>
      </c>
      <c r="O28" s="154" t="s">
        <v>75</v>
      </c>
      <c r="P28" s="154" t="s">
        <v>75</v>
      </c>
      <c r="Q28" s="155" t="s">
        <v>75</v>
      </c>
      <c r="R28" s="146" t="s">
        <v>75</v>
      </c>
      <c r="S28" s="156" t="s">
        <v>75</v>
      </c>
      <c r="T28" s="153" t="s">
        <v>75</v>
      </c>
      <c r="U28" s="153" t="s">
        <v>75</v>
      </c>
      <c r="V28" s="148" t="s">
        <v>75</v>
      </c>
      <c r="W28" s="156" t="s">
        <v>75</v>
      </c>
      <c r="X28" s="153" t="s">
        <v>75</v>
      </c>
      <c r="Y28" s="153" t="s">
        <v>75</v>
      </c>
      <c r="Z28" s="153" t="s">
        <v>75</v>
      </c>
      <c r="AA28" s="72" t="s">
        <v>75</v>
      </c>
      <c r="AB28" s="154" t="s">
        <v>75</v>
      </c>
      <c r="AC28" s="154" t="s">
        <v>75</v>
      </c>
      <c r="AD28" s="154" t="s">
        <v>75</v>
      </c>
      <c r="AE28" s="73"/>
      <c r="AF28" s="157" t="s">
        <v>75</v>
      </c>
      <c r="AG28" s="267" t="s">
        <v>75</v>
      </c>
      <c r="AH28" s="158" t="s">
        <v>75</v>
      </c>
      <c r="AI28" s="154" t="s">
        <v>75</v>
      </c>
      <c r="AJ28" s="154" t="s">
        <v>75</v>
      </c>
      <c r="AK28" s="154" t="s">
        <v>75</v>
      </c>
      <c r="AL28" s="154" t="s">
        <v>75</v>
      </c>
      <c r="AM28" s="267" t="s">
        <v>75</v>
      </c>
    </row>
    <row r="29" spans="1:39" ht="24" x14ac:dyDescent="0.2">
      <c r="A29" s="116" t="str">
        <f>OVERALL!AA$1</f>
        <v>AGED CARE 25</v>
      </c>
      <c r="B29" s="140" t="s">
        <v>75</v>
      </c>
      <c r="C29" s="141" t="s">
        <v>75</v>
      </c>
      <c r="D29" s="142" t="s">
        <v>75</v>
      </c>
      <c r="E29" s="70" t="s">
        <v>75</v>
      </c>
      <c r="F29" s="71" t="s">
        <v>75</v>
      </c>
      <c r="G29" s="81" t="s">
        <v>75</v>
      </c>
      <c r="H29" s="83" t="s">
        <v>75</v>
      </c>
      <c r="I29" s="143" t="s">
        <v>75</v>
      </c>
      <c r="J29" s="81" t="s">
        <v>75</v>
      </c>
      <c r="K29" s="82" t="s">
        <v>75</v>
      </c>
      <c r="L29" s="144" t="s">
        <v>75</v>
      </c>
      <c r="M29" s="145" t="s">
        <v>75</v>
      </c>
      <c r="N29" s="81" t="s">
        <v>75</v>
      </c>
      <c r="O29" s="82" t="s">
        <v>75</v>
      </c>
      <c r="P29" s="82" t="s">
        <v>75</v>
      </c>
      <c r="Q29" s="144" t="s">
        <v>75</v>
      </c>
      <c r="R29" s="146" t="s">
        <v>75</v>
      </c>
      <c r="S29" s="147" t="s">
        <v>75</v>
      </c>
      <c r="T29" s="83" t="s">
        <v>75</v>
      </c>
      <c r="U29" s="83" t="s">
        <v>75</v>
      </c>
      <c r="V29" s="148" t="s">
        <v>75</v>
      </c>
      <c r="W29" s="147" t="s">
        <v>75</v>
      </c>
      <c r="X29" s="83" t="s">
        <v>75</v>
      </c>
      <c r="Y29" s="83" t="s">
        <v>75</v>
      </c>
      <c r="Z29" s="83" t="s">
        <v>75</v>
      </c>
      <c r="AA29" s="72" t="s">
        <v>75</v>
      </c>
      <c r="AB29" s="82" t="s">
        <v>75</v>
      </c>
      <c r="AC29" s="82" t="s">
        <v>75</v>
      </c>
      <c r="AD29" s="82" t="s">
        <v>75</v>
      </c>
      <c r="AE29" s="73"/>
      <c r="AF29" s="84" t="s">
        <v>75</v>
      </c>
      <c r="AG29" s="268" t="s">
        <v>75</v>
      </c>
      <c r="AH29" s="85" t="s">
        <v>75</v>
      </c>
      <c r="AI29" s="82" t="s">
        <v>75</v>
      </c>
      <c r="AJ29" s="82" t="s">
        <v>75</v>
      </c>
      <c r="AK29" s="82" t="s">
        <v>75</v>
      </c>
      <c r="AL29" s="82" t="s">
        <v>75</v>
      </c>
      <c r="AM29" s="268" t="s">
        <v>75</v>
      </c>
    </row>
    <row r="30" spans="1:39" ht="24" x14ac:dyDescent="0.2">
      <c r="A30" s="116" t="str">
        <f>OVERALL!AB$1</f>
        <v>AGED CARE 26</v>
      </c>
      <c r="B30" s="140" t="s">
        <v>75</v>
      </c>
      <c r="C30" s="149" t="s">
        <v>75</v>
      </c>
      <c r="D30" s="142" t="s">
        <v>75</v>
      </c>
      <c r="E30" s="150" t="s">
        <v>75</v>
      </c>
      <c r="F30" s="151" t="s">
        <v>75</v>
      </c>
      <c r="G30" s="152" t="s">
        <v>75</v>
      </c>
      <c r="H30" s="153" t="s">
        <v>75</v>
      </c>
      <c r="I30" s="143" t="s">
        <v>75</v>
      </c>
      <c r="J30" s="152" t="s">
        <v>75</v>
      </c>
      <c r="K30" s="154" t="s">
        <v>75</v>
      </c>
      <c r="L30" s="155" t="s">
        <v>75</v>
      </c>
      <c r="M30" s="145" t="s">
        <v>75</v>
      </c>
      <c r="N30" s="152" t="s">
        <v>75</v>
      </c>
      <c r="O30" s="154" t="s">
        <v>75</v>
      </c>
      <c r="P30" s="154" t="s">
        <v>75</v>
      </c>
      <c r="Q30" s="155" t="s">
        <v>75</v>
      </c>
      <c r="R30" s="146" t="s">
        <v>75</v>
      </c>
      <c r="S30" s="156" t="s">
        <v>75</v>
      </c>
      <c r="T30" s="153" t="s">
        <v>75</v>
      </c>
      <c r="U30" s="153" t="s">
        <v>75</v>
      </c>
      <c r="V30" s="148" t="s">
        <v>75</v>
      </c>
      <c r="W30" s="156" t="s">
        <v>75</v>
      </c>
      <c r="X30" s="153" t="s">
        <v>75</v>
      </c>
      <c r="Y30" s="153" t="s">
        <v>75</v>
      </c>
      <c r="Z30" s="153" t="s">
        <v>75</v>
      </c>
      <c r="AA30" s="72" t="s">
        <v>75</v>
      </c>
      <c r="AB30" s="154" t="s">
        <v>75</v>
      </c>
      <c r="AC30" s="154" t="s">
        <v>75</v>
      </c>
      <c r="AD30" s="154" t="s">
        <v>75</v>
      </c>
      <c r="AE30" s="73"/>
      <c r="AF30" s="157" t="s">
        <v>75</v>
      </c>
      <c r="AG30" s="267" t="s">
        <v>75</v>
      </c>
      <c r="AH30" s="158" t="s">
        <v>75</v>
      </c>
      <c r="AI30" s="154" t="s">
        <v>75</v>
      </c>
      <c r="AJ30" s="154" t="s">
        <v>75</v>
      </c>
      <c r="AK30" s="154" t="s">
        <v>75</v>
      </c>
      <c r="AL30" s="154" t="s">
        <v>75</v>
      </c>
      <c r="AM30" s="267" t="s">
        <v>75</v>
      </c>
    </row>
    <row r="31" spans="1:39" ht="24" x14ac:dyDescent="0.2">
      <c r="A31" s="116" t="str">
        <f>OVERALL!AC$1</f>
        <v>AGED CARE 27</v>
      </c>
      <c r="B31" s="140" t="s">
        <v>75</v>
      </c>
      <c r="C31" s="141" t="s">
        <v>75</v>
      </c>
      <c r="D31" s="142" t="s">
        <v>75</v>
      </c>
      <c r="E31" s="70" t="s">
        <v>75</v>
      </c>
      <c r="F31" s="71" t="s">
        <v>75</v>
      </c>
      <c r="G31" s="81" t="s">
        <v>75</v>
      </c>
      <c r="H31" s="83" t="s">
        <v>75</v>
      </c>
      <c r="I31" s="143" t="s">
        <v>75</v>
      </c>
      <c r="J31" s="81" t="s">
        <v>75</v>
      </c>
      <c r="K31" s="82" t="s">
        <v>75</v>
      </c>
      <c r="L31" s="144" t="s">
        <v>75</v>
      </c>
      <c r="M31" s="145" t="s">
        <v>75</v>
      </c>
      <c r="N31" s="81" t="s">
        <v>75</v>
      </c>
      <c r="O31" s="82" t="s">
        <v>75</v>
      </c>
      <c r="P31" s="82" t="s">
        <v>75</v>
      </c>
      <c r="Q31" s="144" t="s">
        <v>75</v>
      </c>
      <c r="R31" s="146" t="s">
        <v>75</v>
      </c>
      <c r="S31" s="147" t="s">
        <v>75</v>
      </c>
      <c r="T31" s="83" t="s">
        <v>75</v>
      </c>
      <c r="U31" s="83" t="s">
        <v>75</v>
      </c>
      <c r="V31" s="148" t="s">
        <v>75</v>
      </c>
      <c r="W31" s="147" t="s">
        <v>75</v>
      </c>
      <c r="X31" s="83" t="s">
        <v>75</v>
      </c>
      <c r="Y31" s="83" t="s">
        <v>75</v>
      </c>
      <c r="Z31" s="83" t="s">
        <v>75</v>
      </c>
      <c r="AA31" s="72" t="s">
        <v>75</v>
      </c>
      <c r="AB31" s="82" t="s">
        <v>75</v>
      </c>
      <c r="AC31" s="82" t="s">
        <v>75</v>
      </c>
      <c r="AD31" s="82" t="s">
        <v>75</v>
      </c>
      <c r="AE31" s="73" t="s">
        <v>75</v>
      </c>
      <c r="AF31" s="84" t="s">
        <v>75</v>
      </c>
      <c r="AG31" s="268" t="s">
        <v>75</v>
      </c>
      <c r="AH31" s="85" t="s">
        <v>75</v>
      </c>
      <c r="AI31" s="82" t="s">
        <v>75</v>
      </c>
      <c r="AJ31" s="82" t="s">
        <v>75</v>
      </c>
      <c r="AK31" s="82" t="s">
        <v>75</v>
      </c>
      <c r="AL31" s="82" t="s">
        <v>75</v>
      </c>
      <c r="AM31" s="268" t="s">
        <v>75</v>
      </c>
    </row>
    <row r="32" spans="1:39" ht="24" x14ac:dyDescent="0.2">
      <c r="A32" s="116" t="str">
        <f>OVERALL!AD$1</f>
        <v>AGED CARE 28</v>
      </c>
      <c r="B32" s="140" t="s">
        <v>75</v>
      </c>
      <c r="C32" s="149" t="s">
        <v>75</v>
      </c>
      <c r="D32" s="142" t="s">
        <v>75</v>
      </c>
      <c r="E32" s="150" t="s">
        <v>75</v>
      </c>
      <c r="F32" s="151" t="s">
        <v>75</v>
      </c>
      <c r="G32" s="152" t="s">
        <v>75</v>
      </c>
      <c r="H32" s="153" t="s">
        <v>75</v>
      </c>
      <c r="I32" s="143" t="s">
        <v>75</v>
      </c>
      <c r="J32" s="152" t="s">
        <v>75</v>
      </c>
      <c r="K32" s="154" t="s">
        <v>75</v>
      </c>
      <c r="L32" s="155" t="s">
        <v>75</v>
      </c>
      <c r="M32" s="145" t="s">
        <v>75</v>
      </c>
      <c r="N32" s="152" t="s">
        <v>75</v>
      </c>
      <c r="O32" s="154" t="s">
        <v>75</v>
      </c>
      <c r="P32" s="154" t="s">
        <v>75</v>
      </c>
      <c r="Q32" s="155" t="s">
        <v>75</v>
      </c>
      <c r="R32" s="146" t="s">
        <v>75</v>
      </c>
      <c r="S32" s="156" t="s">
        <v>75</v>
      </c>
      <c r="T32" s="153" t="s">
        <v>75</v>
      </c>
      <c r="U32" s="153" t="s">
        <v>75</v>
      </c>
      <c r="V32" s="148" t="s">
        <v>75</v>
      </c>
      <c r="W32" s="156" t="s">
        <v>75</v>
      </c>
      <c r="X32" s="153" t="s">
        <v>75</v>
      </c>
      <c r="Y32" s="153" t="s">
        <v>75</v>
      </c>
      <c r="Z32" s="153" t="s">
        <v>75</v>
      </c>
      <c r="AA32" s="72" t="s">
        <v>75</v>
      </c>
      <c r="AB32" s="154" t="s">
        <v>75</v>
      </c>
      <c r="AC32" s="154" t="s">
        <v>75</v>
      </c>
      <c r="AD32" s="154" t="s">
        <v>75</v>
      </c>
      <c r="AE32" s="73" t="s">
        <v>75</v>
      </c>
      <c r="AF32" s="157" t="s">
        <v>75</v>
      </c>
      <c r="AG32" s="267" t="s">
        <v>75</v>
      </c>
      <c r="AH32" s="158" t="s">
        <v>75</v>
      </c>
      <c r="AI32" s="154" t="s">
        <v>75</v>
      </c>
      <c r="AJ32" s="154" t="s">
        <v>75</v>
      </c>
      <c r="AK32" s="154" t="s">
        <v>75</v>
      </c>
      <c r="AL32" s="154" t="s">
        <v>75</v>
      </c>
      <c r="AM32" s="267" t="s">
        <v>75</v>
      </c>
    </row>
    <row r="33" spans="1:39" ht="24" x14ac:dyDescent="0.2">
      <c r="A33" s="116" t="str">
        <f>OVERALL!AE$1</f>
        <v>AGED CARE 29</v>
      </c>
      <c r="B33" s="140" t="s">
        <v>75</v>
      </c>
      <c r="C33" s="141" t="s">
        <v>75</v>
      </c>
      <c r="D33" s="142" t="s">
        <v>75</v>
      </c>
      <c r="E33" s="70" t="s">
        <v>75</v>
      </c>
      <c r="F33" s="71" t="s">
        <v>75</v>
      </c>
      <c r="G33" s="81" t="s">
        <v>75</v>
      </c>
      <c r="H33" s="83" t="s">
        <v>75</v>
      </c>
      <c r="I33" s="143" t="s">
        <v>75</v>
      </c>
      <c r="J33" s="81" t="s">
        <v>75</v>
      </c>
      <c r="K33" s="82" t="s">
        <v>75</v>
      </c>
      <c r="L33" s="144" t="s">
        <v>75</v>
      </c>
      <c r="M33" s="145" t="s">
        <v>75</v>
      </c>
      <c r="N33" s="81" t="s">
        <v>75</v>
      </c>
      <c r="O33" s="82" t="s">
        <v>75</v>
      </c>
      <c r="P33" s="82" t="s">
        <v>75</v>
      </c>
      <c r="Q33" s="144" t="s">
        <v>75</v>
      </c>
      <c r="R33" s="146" t="s">
        <v>75</v>
      </c>
      <c r="S33" s="147" t="s">
        <v>75</v>
      </c>
      <c r="T33" s="83" t="s">
        <v>75</v>
      </c>
      <c r="U33" s="83" t="s">
        <v>75</v>
      </c>
      <c r="V33" s="148" t="s">
        <v>75</v>
      </c>
      <c r="W33" s="147" t="s">
        <v>75</v>
      </c>
      <c r="X33" s="83" t="s">
        <v>75</v>
      </c>
      <c r="Y33" s="83" t="s">
        <v>75</v>
      </c>
      <c r="Z33" s="83" t="s">
        <v>75</v>
      </c>
      <c r="AA33" s="72" t="s">
        <v>75</v>
      </c>
      <c r="AB33" s="82" t="s">
        <v>75</v>
      </c>
      <c r="AC33" s="82" t="s">
        <v>75</v>
      </c>
      <c r="AD33" s="82" t="s">
        <v>75</v>
      </c>
      <c r="AE33" s="73" t="s">
        <v>75</v>
      </c>
      <c r="AF33" s="84" t="s">
        <v>75</v>
      </c>
      <c r="AG33" s="268" t="s">
        <v>75</v>
      </c>
      <c r="AH33" s="85" t="s">
        <v>75</v>
      </c>
      <c r="AI33" s="82" t="s">
        <v>75</v>
      </c>
      <c r="AJ33" s="82" t="s">
        <v>75</v>
      </c>
      <c r="AK33" s="82" t="s">
        <v>75</v>
      </c>
      <c r="AL33" s="82" t="s">
        <v>75</v>
      </c>
      <c r="AM33" s="268" t="s">
        <v>75</v>
      </c>
    </row>
    <row r="34" spans="1:39" ht="25" thickBot="1" x14ac:dyDescent="0.25">
      <c r="A34" s="116" t="str">
        <f>OVERALL!AF$1</f>
        <v>AGED CARE 30</v>
      </c>
      <c r="B34" s="159" t="s">
        <v>75</v>
      </c>
      <c r="C34" s="149" t="s">
        <v>75</v>
      </c>
      <c r="D34" s="160" t="s">
        <v>75</v>
      </c>
      <c r="E34" s="161" t="s">
        <v>75</v>
      </c>
      <c r="F34" s="162" t="s">
        <v>75</v>
      </c>
      <c r="G34" s="163" t="s">
        <v>75</v>
      </c>
      <c r="H34" s="164" t="s">
        <v>75</v>
      </c>
      <c r="I34" s="143" t="s">
        <v>75</v>
      </c>
      <c r="J34" s="152" t="s">
        <v>75</v>
      </c>
      <c r="K34" s="154" t="s">
        <v>75</v>
      </c>
      <c r="L34" s="155" t="s">
        <v>75</v>
      </c>
      <c r="M34" s="145" t="s">
        <v>75</v>
      </c>
      <c r="N34" s="152" t="s">
        <v>75</v>
      </c>
      <c r="O34" s="154" t="s">
        <v>75</v>
      </c>
      <c r="P34" s="154" t="s">
        <v>75</v>
      </c>
      <c r="Q34" s="155" t="s">
        <v>75</v>
      </c>
      <c r="R34" s="146" t="s">
        <v>75</v>
      </c>
      <c r="S34" s="156" t="s">
        <v>75</v>
      </c>
      <c r="T34" s="153" t="s">
        <v>75</v>
      </c>
      <c r="U34" s="153" t="s">
        <v>75</v>
      </c>
      <c r="V34" s="148" t="s">
        <v>75</v>
      </c>
      <c r="W34" s="156" t="s">
        <v>75</v>
      </c>
      <c r="X34" s="153" t="s">
        <v>75</v>
      </c>
      <c r="Y34" s="153" t="s">
        <v>75</v>
      </c>
      <c r="Z34" s="153" t="s">
        <v>75</v>
      </c>
      <c r="AA34" s="72" t="s">
        <v>75</v>
      </c>
      <c r="AB34" s="154" t="s">
        <v>75</v>
      </c>
      <c r="AC34" s="154" t="s">
        <v>75</v>
      </c>
      <c r="AD34" s="154" t="s">
        <v>75</v>
      </c>
      <c r="AE34" s="73" t="s">
        <v>75</v>
      </c>
      <c r="AF34" s="248" t="s">
        <v>75</v>
      </c>
      <c r="AG34" s="269" t="s">
        <v>75</v>
      </c>
      <c r="AH34" s="249" t="s">
        <v>75</v>
      </c>
      <c r="AI34" s="250" t="s">
        <v>75</v>
      </c>
      <c r="AJ34" s="250" t="s">
        <v>75</v>
      </c>
      <c r="AK34" s="250" t="s">
        <v>75</v>
      </c>
      <c r="AL34" s="250" t="s">
        <v>75</v>
      </c>
      <c r="AM34" s="269" t="s">
        <v>75</v>
      </c>
    </row>
    <row r="35" spans="1:39" s="184" customFormat="1" ht="44" customHeight="1" thickBot="1" x14ac:dyDescent="0.3">
      <c r="A35" s="165" t="s">
        <v>57</v>
      </c>
      <c r="B35" s="166">
        <f>OVERALL!B3</f>
        <v>0.60585657596371878</v>
      </c>
      <c r="C35" s="167">
        <f>OVERALL!B$4</f>
        <v>0.50972222222222219</v>
      </c>
      <c r="D35" s="168">
        <f>OVERALL!B$6</f>
        <v>0.21428571428571427</v>
      </c>
      <c r="E35" s="169">
        <f>OVERALL!B$7</f>
        <v>0.7142857142857143</v>
      </c>
      <c r="F35" s="170">
        <f>OVERALL!B$8</f>
        <v>0</v>
      </c>
      <c r="G35" s="170">
        <f>OVERALL!B$9</f>
        <v>0.14285714285714285</v>
      </c>
      <c r="H35" s="171">
        <f>OVERALL!B$10</f>
        <v>0</v>
      </c>
      <c r="I35" s="172">
        <f>OVERALL!B$12</f>
        <v>0.58730158730158721</v>
      </c>
      <c r="J35" s="173">
        <f>OVERALL!B$13</f>
        <v>9.5238095238095233E-2</v>
      </c>
      <c r="K35" s="174">
        <f>OVERALL!B$14</f>
        <v>1</v>
      </c>
      <c r="L35" s="175">
        <f>OVERALL!B$15</f>
        <v>0.66666666666666674</v>
      </c>
      <c r="M35" s="176">
        <f>OVERALL!B$17</f>
        <v>0.51190476190476186</v>
      </c>
      <c r="N35" s="173">
        <f>OVERALL!B$18</f>
        <v>0.7142857142857143</v>
      </c>
      <c r="O35" s="174">
        <f>OVERALL!B$19</f>
        <v>4.7619047619047616E-2</v>
      </c>
      <c r="P35" s="174">
        <f>OVERALL!B$20</f>
        <v>0.2857142857142857</v>
      </c>
      <c r="Q35" s="175">
        <f>OVERALL!B$21</f>
        <v>1</v>
      </c>
      <c r="R35" s="177">
        <f>OVERALL!B$23</f>
        <v>0.38095238095238093</v>
      </c>
      <c r="S35" s="178">
        <f>OVERALL!B$24</f>
        <v>9.5238095238095233E-2</v>
      </c>
      <c r="T35" s="179">
        <f>OVERALL!B$25</f>
        <v>0.19047619047619047</v>
      </c>
      <c r="U35" s="180">
        <f>OVERALL!B$26</f>
        <v>0.8571428571428571</v>
      </c>
      <c r="V35" s="181">
        <f>OVERALL!B$28</f>
        <v>0.8214285714285714</v>
      </c>
      <c r="W35" s="178">
        <f>OVERALL!B$29</f>
        <v>1</v>
      </c>
      <c r="X35" s="179">
        <f>OVERALL!B$30</f>
        <v>0.85714285714285732</v>
      </c>
      <c r="Y35" s="179">
        <f>OVERALL!B$31</f>
        <v>0.80952380952380953</v>
      </c>
      <c r="Z35" s="179">
        <f>OVERALL!B$32</f>
        <v>0.61904761904761896</v>
      </c>
      <c r="AA35" s="182"/>
      <c r="AB35" s="179">
        <f>OVERALL!B$34</f>
        <v>0</v>
      </c>
      <c r="AC35" s="179">
        <f>OVERALL!B$35</f>
        <v>0</v>
      </c>
      <c r="AD35" s="179">
        <f>OVERALL!B$36</f>
        <v>0</v>
      </c>
      <c r="AE35" s="247">
        <f>OVERALL!B$39</f>
        <v>1</v>
      </c>
      <c r="AF35" s="251">
        <f>OVERALL!B$39</f>
        <v>1</v>
      </c>
      <c r="AG35" s="273">
        <f>OVERALL!B40</f>
        <v>2.3589065255731926E-3</v>
      </c>
      <c r="AH35" s="183">
        <f>OVERALL!B$41</f>
        <v>4.7619047619047619</v>
      </c>
      <c r="AI35" s="179">
        <f>OVERALL!B$42</f>
        <v>9.5238095238095233E-2</v>
      </c>
      <c r="AJ35" s="179">
        <f>OVERALL!B$43</f>
        <v>0.19047619047619047</v>
      </c>
      <c r="AK35" s="179">
        <f>OVERALL!B$44</f>
        <v>0.8571428571428571</v>
      </c>
      <c r="AL35" s="179">
        <f>OVERALL!B$45</f>
        <v>0</v>
      </c>
      <c r="AM35" s="270">
        <f>OVERALL!B71</f>
        <v>3.862985008818343E-3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133</v>
      </c>
      <c r="E2" s="300" t="s">
        <v>158</v>
      </c>
      <c r="F2" s="300" t="s">
        <v>145</v>
      </c>
    </row>
    <row r="3" spans="1:8" ht="19" x14ac:dyDescent="0.2">
      <c r="A3" s="32" t="str">
        <f>OVERALL!J1</f>
        <v>UNITING NSW.ACT</v>
      </c>
      <c r="B3" s="244">
        <f>OVERALL!I3</f>
        <v>0.55326388888888889</v>
      </c>
      <c r="C3" s="108" t="s">
        <v>71</v>
      </c>
      <c r="D3" s="109">
        <f>IF(D2="-","-",D57)</f>
        <v>0.59895833333333337</v>
      </c>
      <c r="E3" s="109">
        <f t="shared" ref="E3:F3" si="0">IF(E2="-","-",E57)</f>
        <v>0.62916666666666665</v>
      </c>
      <c r="F3" s="109">
        <f t="shared" si="0"/>
        <v>0.79374999999999996</v>
      </c>
    </row>
    <row r="4" spans="1:8" ht="18" customHeight="1" x14ac:dyDescent="0.2">
      <c r="A4" s="17" t="str">
        <f>OVERALL!A4</f>
        <v>AGENT MASTERY SCORE</v>
      </c>
      <c r="B4" s="38">
        <f>IF(C2=0, "-", IF(COUNTIF(D39:F39, "n")=C2, "-", IF(COUNT(D4:F4)=0, "-", AVERAGE(D4:F4))))</f>
        <v>0.56666666666666676</v>
      </c>
      <c r="C4" s="58" t="s">
        <v>1</v>
      </c>
      <c r="D4" s="38">
        <f>IF(D48&lt;0%,0%,IF(D$2="-","-",IF(D$39="n", "-", SUM(D$6,D$12,D$17,D$23,D$28,D$34))))</f>
        <v>0.45833333333333337</v>
      </c>
      <c r="E4" s="38">
        <f t="shared" ref="E4:F4" si="1">IF(E48&lt;0%,0%,IF(E$2="-","-",IF(E$39="n", "-", SUM(E$6,E$12,E$17,E$23,E$28,E$34))))</f>
        <v>0.4916666666666667</v>
      </c>
      <c r="F4" s="38">
        <f t="shared" si="1"/>
        <v>0.75</v>
      </c>
      <c r="H4" s="12" t="s">
        <v>8</v>
      </c>
    </row>
    <row r="5" spans="1:8" ht="18" customHeight="1" x14ac:dyDescent="0.25">
      <c r="A5" s="57" t="s">
        <v>46</v>
      </c>
      <c r="B5" s="58">
        <f>IF(B6="-","-",AVERAGE(D5:F5))</f>
        <v>0.56666666666666676</v>
      </c>
      <c r="C5" s="58" t="s">
        <v>1</v>
      </c>
      <c r="D5" s="60">
        <f t="shared" ref="D5:F5" si="2">IF(D$2="","",IF(D$39="n", "", SUM(D$6,D$12,D$17,D$23,D$28)))</f>
        <v>0.45833333333333337</v>
      </c>
      <c r="E5" s="60">
        <f t="shared" si="2"/>
        <v>0.4916666666666667</v>
      </c>
      <c r="F5" s="60">
        <f t="shared" si="2"/>
        <v>0.75</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6" t="s">
        <v>120</v>
      </c>
      <c r="E7" s="299" t="s">
        <v>120</v>
      </c>
      <c r="F7" s="299" t="s">
        <v>120</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v>
      </c>
      <c r="C9" s="26">
        <f>$C$2-COUNTIF(D9:F9, "-")</f>
        <v>3</v>
      </c>
      <c r="D9" s="296" t="s">
        <v>119</v>
      </c>
      <c r="E9" s="299" t="s">
        <v>119</v>
      </c>
      <c r="F9" s="299" t="s">
        <v>119</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0.66666666666666663</v>
      </c>
      <c r="C12" s="1" t="s">
        <v>1</v>
      </c>
      <c r="D12" s="28">
        <f>IF(D16=0,"-",(COUNTIF(D13:D15, "y")/D16)*OVERALL!$C$12)</f>
        <v>0.13333333333333333</v>
      </c>
      <c r="E12" s="28">
        <f>IF(E16=0,"-",(COUNTIF(E13:E15, "y")/E16)*OVERALL!$C$12)</f>
        <v>6.6666666666666666E-2</v>
      </c>
      <c r="F12" s="28">
        <f>IF(F16=0,"-",(COUNTIF(F13:F15, "y")/F16)*OVERALL!$C$12)</f>
        <v>0.2</v>
      </c>
      <c r="H12" t="s">
        <v>1</v>
      </c>
    </row>
    <row r="13" spans="1:8" ht="18" customHeight="1" x14ac:dyDescent="0.2">
      <c r="A13" s="33" t="str">
        <f>OVERALL!A13</f>
        <v>CONVERSE</v>
      </c>
      <c r="B13" s="3">
        <f>IF(C13=0,"-",COUNTIF(D13:F13,"y")/C13)</f>
        <v>0.33333333333333331</v>
      </c>
      <c r="C13" s="26">
        <f>$C$2-COUNTIF(D13:F13, "-")</f>
        <v>3</v>
      </c>
      <c r="D13" s="296" t="s">
        <v>119</v>
      </c>
      <c r="E13" s="299" t="s">
        <v>119</v>
      </c>
      <c r="F13" s="299" t="s">
        <v>120</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0.66666666666666663</v>
      </c>
      <c r="C15" s="26">
        <f>$C$2-COUNTIF(D15:F15, "-")</f>
        <v>3</v>
      </c>
      <c r="D15" s="296" t="s">
        <v>120</v>
      </c>
      <c r="E15" s="299" t="s">
        <v>119</v>
      </c>
      <c r="F15" s="299" t="s">
        <v>120</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0.125</v>
      </c>
      <c r="F17" s="29">
        <f>IF(F22=0,"-",(COUNTIF(F18:F21, "y")/F22)*OVERALL!$C$17)</f>
        <v>0.25</v>
      </c>
      <c r="H17" s="9" t="s">
        <v>6</v>
      </c>
    </row>
    <row r="18" spans="1:11" ht="18" customHeight="1" x14ac:dyDescent="0.2">
      <c r="A18" s="33" t="str">
        <f>OVERALL!A18</f>
        <v>INFORM</v>
      </c>
      <c r="B18" s="3">
        <f>IF(C18=0,"-",COUNTIF(D18:F18,"y")/C18)</f>
        <v>1</v>
      </c>
      <c r="C18" s="26">
        <f>$C$2-COUNTIF(D18:F18, "-")</f>
        <v>3</v>
      </c>
      <c r="D18" s="296" t="s">
        <v>120</v>
      </c>
      <c r="E18" s="299" t="s">
        <v>120</v>
      </c>
      <c r="F18" s="299" t="s">
        <v>120</v>
      </c>
    </row>
    <row r="19" spans="1:11" ht="18" customHeight="1" x14ac:dyDescent="0.2">
      <c r="A19" s="33" t="str">
        <f>OVERALL!A19</f>
        <v>CHECK</v>
      </c>
      <c r="B19" s="3">
        <f>IF(C19=0,"-",COUNTIF(D19:F19,"y")/C19)</f>
        <v>0.33333333333333331</v>
      </c>
      <c r="C19" s="26">
        <f>$C$2-COUNTIF(D19:F19, "-")</f>
        <v>3</v>
      </c>
      <c r="D19" s="296" t="s">
        <v>119</v>
      </c>
      <c r="E19" s="299" t="s">
        <v>119</v>
      </c>
      <c r="F19" s="299" t="s">
        <v>120</v>
      </c>
    </row>
    <row r="20" spans="1:11" ht="18" customHeight="1" x14ac:dyDescent="0.2">
      <c r="A20" s="33" t="str">
        <f>OVERALL!A20</f>
        <v>SEEK</v>
      </c>
      <c r="B20" s="3">
        <f>IF(C20=0,"-",COUNTIF(D20:F20,"y")/C20)</f>
        <v>0.33333333333333331</v>
      </c>
      <c r="C20" s="26">
        <f>$C$2-COUNTIF(D20:F20, "-")</f>
        <v>3</v>
      </c>
      <c r="D20" s="296" t="s">
        <v>119</v>
      </c>
      <c r="E20" s="299" t="s">
        <v>119</v>
      </c>
      <c r="F20" s="299" t="s">
        <v>120</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0.22222222222222221</v>
      </c>
      <c r="C23" s="1" t="s">
        <v>1</v>
      </c>
      <c r="D23" s="29">
        <f>IF(D27=0,"-",(COUNTIF(D24:D26, "y")/D27)*OVERALL!$C$23)</f>
        <v>0</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296" t="s">
        <v>119</v>
      </c>
      <c r="E24" s="299" t="s">
        <v>119</v>
      </c>
      <c r="F24" s="279" t="s">
        <v>119</v>
      </c>
    </row>
    <row r="25" spans="1:11" ht="18" customHeight="1" x14ac:dyDescent="0.2">
      <c r="A25" s="33" t="str">
        <f>OVERALL!A25</f>
        <v>GRATITUDE</v>
      </c>
      <c r="B25" s="3">
        <f>IF(C25=0,"-",COUNTIF(D25:F25,"y")/C25)</f>
        <v>0</v>
      </c>
      <c r="C25" s="26">
        <f>$C$2-COUNTIF(D25:F25, "-")</f>
        <v>3</v>
      </c>
      <c r="D25" s="296" t="s">
        <v>119</v>
      </c>
      <c r="E25" s="299" t="s">
        <v>119</v>
      </c>
      <c r="F25" s="280" t="s">
        <v>119</v>
      </c>
    </row>
    <row r="26" spans="1:11" ht="18" customHeight="1" x14ac:dyDescent="0.2">
      <c r="A26" s="33" t="str">
        <f>OVERALL!A26</f>
        <v>THANKS</v>
      </c>
      <c r="B26" s="3">
        <f>IF(C26=0,"-",COUNTIF(D26:F26,"y")/C26)</f>
        <v>0.66666666666666663</v>
      </c>
      <c r="C26" s="26">
        <f>$C$2-COUNTIF(D26:F26, "-")</f>
        <v>3</v>
      </c>
      <c r="D26" s="296" t="s">
        <v>119</v>
      </c>
      <c r="E26" s="299" t="s">
        <v>120</v>
      </c>
      <c r="F26" s="280"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6" t="s">
        <v>120</v>
      </c>
      <c r="E29" s="299" t="s">
        <v>120</v>
      </c>
      <c r="F29" s="279" t="s">
        <v>120</v>
      </c>
    </row>
    <row r="30" spans="1:11" ht="18" customHeight="1" x14ac:dyDescent="0.2">
      <c r="A30" s="33" t="str">
        <f>OVERALL!A30</f>
        <v>EMPATHY</v>
      </c>
      <c r="B30" s="3">
        <f>IF(C30=0,"-",COUNTIF(D30:F30,"y")/C30)</f>
        <v>1</v>
      </c>
      <c r="C30" s="26">
        <f>$C$2-COUNTIF(D30:F30, "-")</f>
        <v>3</v>
      </c>
      <c r="D30" s="296" t="s">
        <v>120</v>
      </c>
      <c r="E30" s="299" t="s">
        <v>120</v>
      </c>
      <c r="F30" s="280" t="s">
        <v>120</v>
      </c>
    </row>
    <row r="31" spans="1:11" ht="18" customHeight="1" x14ac:dyDescent="0.2">
      <c r="A31" s="33" t="str">
        <f>OVERALL!A31</f>
        <v>CONTROL</v>
      </c>
      <c r="B31" s="3">
        <f>IF(C31=0,"-",COUNTIF(D31:F31,"y")/C31)</f>
        <v>0.66666666666666663</v>
      </c>
      <c r="C31" s="26">
        <f>$C$2-COUNTIF(D31:F31, "-")</f>
        <v>3</v>
      </c>
      <c r="D31" s="296" t="s">
        <v>119</v>
      </c>
      <c r="E31" s="299" t="s">
        <v>120</v>
      </c>
      <c r="F31" s="280" t="s">
        <v>120</v>
      </c>
    </row>
    <row r="32" spans="1:11" ht="18" customHeight="1" x14ac:dyDescent="0.2">
      <c r="A32" s="33" t="str">
        <f>OVERALL!A32</f>
        <v>CLARITY</v>
      </c>
      <c r="B32" s="3">
        <f>IF(C32=0,"-",COUNTIF(D32:F32,"y")/C32)</f>
        <v>1</v>
      </c>
      <c r="C32" s="26">
        <f>$C$2-COUNTIF(D32:F32, "-")</f>
        <v>3</v>
      </c>
      <c r="D32" s="296" t="s">
        <v>120</v>
      </c>
      <c r="E32" s="299" t="s">
        <v>120</v>
      </c>
      <c r="F32" s="299" t="s">
        <v>120</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79" t="s">
        <v>119</v>
      </c>
      <c r="E35" s="281" t="s">
        <v>119</v>
      </c>
      <c r="F35" s="281" t="s">
        <v>119</v>
      </c>
      <c r="H35" s="48">
        <v>-0.3</v>
      </c>
      <c r="J35" s="48"/>
      <c r="K35" s="48"/>
      <c r="L35" s="48"/>
    </row>
    <row r="36" spans="1:13" ht="18" customHeight="1" x14ac:dyDescent="0.2">
      <c r="A36" s="45" t="str">
        <f>OVERALL!A36</f>
        <v>AUDIO ISSUE (DISTRACTION)</v>
      </c>
      <c r="B36" s="3">
        <f>IF(C36=0,"-",COUNTIF(D36:F36,"y")/C36)</f>
        <v>0</v>
      </c>
      <c r="C36" s="26">
        <f>$C$2-COUNTIF(D36:F36, "-")</f>
        <v>3</v>
      </c>
      <c r="D36" s="280" t="s">
        <v>119</v>
      </c>
      <c r="E36" s="282" t="s">
        <v>119</v>
      </c>
      <c r="F36" s="282"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6" t="s">
        <v>120</v>
      </c>
      <c r="E39" s="299" t="s">
        <v>120</v>
      </c>
      <c r="F39" s="299" t="s">
        <v>120</v>
      </c>
    </row>
    <row r="40" spans="1:13" ht="18" customHeight="1" x14ac:dyDescent="0.2">
      <c r="A40" s="33" t="str">
        <f>OVERALL!A40</f>
        <v>TALK TIME</v>
      </c>
      <c r="B40" s="286">
        <f>IF(C40=0,"-",AVERAGE(D40:F40))</f>
        <v>4.5794753086419752E-3</v>
      </c>
      <c r="C40" s="26">
        <f>$C$2-COUNTIF(D40:F40, "-")</f>
        <v>3</v>
      </c>
      <c r="D40" s="286">
        <v>1.4814814814814814E-3</v>
      </c>
      <c r="E40" s="286">
        <v>1.8171296296296297E-3</v>
      </c>
      <c r="F40" s="286">
        <v>1.0439814814814815E-2</v>
      </c>
      <c r="G40" s="46"/>
      <c r="H40" s="261"/>
      <c r="I40" s="261"/>
      <c r="J40" s="261"/>
      <c r="K40" s="261"/>
      <c r="L40" s="261"/>
      <c r="M40" s="261"/>
    </row>
    <row r="41" spans="1:13" ht="18" customHeight="1" x14ac:dyDescent="0.2">
      <c r="A41" s="33" t="str">
        <f>OVERALL!A41</f>
        <v>ASSESSOR RATING (0-10)</v>
      </c>
      <c r="B41" s="259">
        <f>IF(C41=0,"-",SUM(D41:F41)/C41)</f>
        <v>5.333333333333333</v>
      </c>
      <c r="C41" s="26">
        <f>$C$2-COUNTIF(D41:F41, "-")</f>
        <v>3</v>
      </c>
      <c r="D41" s="278">
        <v>4</v>
      </c>
      <c r="E41" s="278">
        <v>5</v>
      </c>
      <c r="F41" s="278">
        <v>7</v>
      </c>
    </row>
    <row r="42" spans="1:13" ht="18" customHeight="1" x14ac:dyDescent="0.2">
      <c r="A42" s="33" t="str">
        <f>OVERALL!A42</f>
        <v>EXPLAINED KEY FEATURES</v>
      </c>
      <c r="B42" s="3">
        <f>IF(C42=0,"-",COUNTIF(D42:F42, "y")/C42)</f>
        <v>0.33333333333333331</v>
      </c>
      <c r="C42" s="26">
        <f>$C$2-COUNTIF(D42:F42, "-")</f>
        <v>3</v>
      </c>
      <c r="D42" s="296" t="s">
        <v>119</v>
      </c>
      <c r="E42" s="299" t="s">
        <v>119</v>
      </c>
      <c r="F42" s="299" t="s">
        <v>120</v>
      </c>
      <c r="G42" s="47"/>
      <c r="H42" t="s">
        <v>1</v>
      </c>
    </row>
    <row r="43" spans="1:13" ht="18" customHeight="1" x14ac:dyDescent="0.2">
      <c r="A43" s="33" t="str">
        <f>OVERALL!A43</f>
        <v>REVEALED PRICING</v>
      </c>
      <c r="B43" s="3">
        <f>IF(C43=0,"-",COUNTIF(D43:F43, "y")/C43)</f>
        <v>0.66666666666666663</v>
      </c>
      <c r="C43" s="26">
        <f>$C$2-COUNTIF(D43:F43, "-")</f>
        <v>3</v>
      </c>
      <c r="D43" s="296" t="s">
        <v>120</v>
      </c>
      <c r="E43" s="299" t="s">
        <v>119</v>
      </c>
      <c r="F43" s="299" t="s">
        <v>120</v>
      </c>
    </row>
    <row r="44" spans="1:13" ht="18" customHeight="1" x14ac:dyDescent="0.2">
      <c r="A44" s="33" t="str">
        <f>OVERALL!A44</f>
        <v>EXPLAINED ACTIONS &amp; PROCESS</v>
      </c>
      <c r="B44" s="3">
        <f>IF(C44=0,"-",COUNTIF(D44:F44, "y")/C44)</f>
        <v>1</v>
      </c>
      <c r="C44" s="26">
        <f>$C$2-COUNTIF(D44:F44, "-")</f>
        <v>3</v>
      </c>
      <c r="D44" s="296" t="s">
        <v>120</v>
      </c>
      <c r="E44" s="299" t="s">
        <v>120</v>
      </c>
      <c r="F44" s="299" t="s">
        <v>120</v>
      </c>
    </row>
    <row r="45" spans="1:13" ht="18" customHeight="1" x14ac:dyDescent="0.2">
      <c r="A45" s="33" t="str">
        <f>OVERALL!A45</f>
        <v>WEBSITE EDUCATION</v>
      </c>
      <c r="B45" s="3">
        <f>IF(C45=0,"-",COUNTIF(D45:F45, "y")/C45)</f>
        <v>0</v>
      </c>
      <c r="C45" s="26">
        <f>$C$2-COUNTIF(D45:F45, "-")</f>
        <v>3</v>
      </c>
      <c r="D45" s="296" t="s">
        <v>119</v>
      </c>
      <c r="E45" s="299" t="s">
        <v>119</v>
      </c>
      <c r="F45" s="299" t="s">
        <v>119</v>
      </c>
    </row>
    <row r="46" spans="1:13" ht="18" customHeight="1" x14ac:dyDescent="0.2">
      <c r="A46" s="18"/>
      <c r="B46" s="3"/>
      <c r="C46" s="26"/>
      <c r="D46" s="259"/>
      <c r="E46" s="259"/>
      <c r="F46" s="259"/>
    </row>
    <row r="47" spans="1:13" ht="180" x14ac:dyDescent="0.2">
      <c r="A47" s="25" t="s">
        <v>1</v>
      </c>
      <c r="B47" s="350" t="s">
        <v>35</v>
      </c>
      <c r="C47" s="351"/>
      <c r="D47" s="23" t="s">
        <v>134</v>
      </c>
      <c r="E47" s="23" t="s">
        <v>159</v>
      </c>
      <c r="F47" s="23" t="s">
        <v>146</v>
      </c>
    </row>
    <row r="48" spans="1:13" ht="18" customHeight="1" x14ac:dyDescent="0.2">
      <c r="A48" s="59" t="s">
        <v>45</v>
      </c>
      <c r="D48" s="50">
        <f t="shared" ref="D48:F48" si="9">IF(D$2="","",IF(D$39="n", "", SUM(D$6,D$12,D$17,D$23,D$28,D$34)))</f>
        <v>0.45833333333333337</v>
      </c>
      <c r="E48" s="50">
        <f t="shared" si="9"/>
        <v>0.4916666666666667</v>
      </c>
      <c r="F48" s="50">
        <f t="shared" si="9"/>
        <v>0.75</v>
      </c>
    </row>
    <row r="50" spans="1:6" ht="19" x14ac:dyDescent="0.25">
      <c r="A50" s="110" t="s">
        <v>72</v>
      </c>
      <c r="B50" s="90" t="s">
        <v>73</v>
      </c>
    </row>
    <row r="51" spans="1:6" x14ac:dyDescent="0.2">
      <c r="A51" s="111" t="s">
        <v>61</v>
      </c>
      <c r="B51" s="112">
        <v>0.3</v>
      </c>
      <c r="C51" s="111"/>
      <c r="D51" s="252">
        <f>[1]UNITING_NSW_ACT!D$4</f>
        <v>0.92708333333333337</v>
      </c>
      <c r="E51" s="252">
        <f>[1]UNITING_NSW_ACT!E$4</f>
        <v>0.95000000000000007</v>
      </c>
      <c r="F51" s="252">
        <f>[1]UNITING_NSW_ACT!F$4</f>
        <v>0.89583333333333337</v>
      </c>
    </row>
    <row r="52" spans="1:6" x14ac:dyDescent="0.2">
      <c r="A52" s="111" t="s">
        <v>62</v>
      </c>
      <c r="B52" s="112">
        <v>0.7</v>
      </c>
      <c r="C52" s="111"/>
      <c r="D52" s="253">
        <f t="shared" ref="D52:F52" si="10">D4</f>
        <v>0.45833333333333337</v>
      </c>
      <c r="E52" s="253">
        <f t="shared" si="10"/>
        <v>0.4916666666666667</v>
      </c>
      <c r="F52" s="253">
        <f t="shared" si="10"/>
        <v>0.75</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0.27812500000000001</v>
      </c>
      <c r="E55" s="253">
        <f t="shared" ref="E55:F55" si="11">IF(E51="-","-",E51*$B$51)</f>
        <v>0.28500000000000003</v>
      </c>
      <c r="F55" s="253">
        <f t="shared" si="11"/>
        <v>0.26874999999999999</v>
      </c>
    </row>
    <row r="56" spans="1:6" x14ac:dyDescent="0.2">
      <c r="A56" s="111" t="s">
        <v>62</v>
      </c>
      <c r="B56" s="111"/>
      <c r="C56" s="111"/>
      <c r="D56" s="253">
        <f t="shared" ref="D56:F56" si="12">IF(D52="-","-",D52*$B$52)</f>
        <v>0.32083333333333336</v>
      </c>
      <c r="E56" s="253">
        <f t="shared" si="12"/>
        <v>0.34416666666666668</v>
      </c>
      <c r="F56" s="253">
        <f t="shared" si="12"/>
        <v>0.52499999999999991</v>
      </c>
    </row>
    <row r="57" spans="1:6" x14ac:dyDescent="0.2">
      <c r="A57" s="114" t="s">
        <v>57</v>
      </c>
      <c r="B57" s="114"/>
      <c r="C57" s="114"/>
      <c r="D57" s="115">
        <f t="shared" ref="D57:F57" si="13">IF(D51="","",IF(D52="","",SUM(D55:D56)))</f>
        <v>0.59895833333333337</v>
      </c>
      <c r="E57" s="115">
        <f t="shared" si="13"/>
        <v>0.62916666666666665</v>
      </c>
      <c r="F57" s="115">
        <f t="shared" si="13"/>
        <v>0.79374999999999996</v>
      </c>
    </row>
  </sheetData>
  <mergeCells count="2">
    <mergeCell ref="B47:C47"/>
    <mergeCell ref="A38:B38"/>
  </mergeCells>
  <conditionalFormatting sqref="B4 D4:F4">
    <cfRule type="containsBlanks" dxfId="10" priority="10">
      <formula>LEN(TRIM(B4))=0</formula>
    </cfRule>
    <cfRule type="cellIs" dxfId="9" priority="11" operator="greaterThanOrEqual">
      <formula>0.905</formula>
    </cfRule>
    <cfRule type="cellIs" dxfId="8" priority="12" operator="between">
      <formula>0.754999</formula>
      <formula>0.905</formula>
    </cfRule>
    <cfRule type="cellIs" dxfId="7" priority="13" operator="between">
      <formula>0.604999</formula>
      <formula>0.754999</formula>
    </cfRule>
    <cfRule type="cellIs" dxfId="6" priority="14" operator="between">
      <formula>0.44999</formula>
      <formula>0.605</formula>
    </cfRule>
    <cfRule type="cellIs" dxfId="5" priority="15" operator="lessThan">
      <formula>0.45</formula>
    </cfRule>
  </conditionalFormatting>
  <conditionalFormatting sqref="B6">
    <cfRule type="containsText" dxfId="4" priority="9" operator="containsText" text="NA">
      <formula>NOT(ISERROR(SEARCH("NA",B6)))</formula>
    </cfRule>
  </conditionalFormatting>
  <conditionalFormatting sqref="B12">
    <cfRule type="containsText" dxfId="3" priority="4" operator="containsText" text="NA">
      <formula>NOT(ISERROR(SEARCH("NA",B12)))</formula>
    </cfRule>
  </conditionalFormatting>
  <conditionalFormatting sqref="B17">
    <cfRule type="containsText" dxfId="2" priority="3" operator="containsText" text="NA">
      <formula>NOT(ISERROR(SEARCH("NA",B17)))</formula>
    </cfRule>
  </conditionalFormatting>
  <conditionalFormatting sqref="B23">
    <cfRule type="containsText" dxfId="1" priority="2" operator="containsText" text="NA">
      <formula>NOT(ISERROR(SEARCH("NA",B23)))</formula>
    </cfRule>
  </conditionalFormatting>
  <conditionalFormatting sqref="B28">
    <cfRule type="containsText" dxfId="0" priority="1" operator="containsText" text="NA">
      <formula>NOT(ISERROR(SEARCH("NA",B28)))</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K1" workbookViewId="0">
      <selection activeCell="Z2" sqref="Z2"/>
    </sheetView>
  </sheetViews>
  <sheetFormatPr baseColWidth="10" defaultColWidth="8.83203125" defaultRowHeight="16" x14ac:dyDescent="0.2"/>
  <cols>
    <col min="1" max="1" width="34.1640625" customWidth="1"/>
  </cols>
  <sheetData>
    <row r="1" spans="1:37" x14ac:dyDescent="0.2">
      <c r="A1" t="s">
        <v>82</v>
      </c>
      <c r="B1" s="260" t="s">
        <v>84</v>
      </c>
      <c r="C1" s="260" t="s">
        <v>85</v>
      </c>
      <c r="D1" s="260" t="s">
        <v>50</v>
      </c>
      <c r="E1" s="260" t="s">
        <v>17</v>
      </c>
      <c r="F1" s="260" t="s">
        <v>18</v>
      </c>
      <c r="G1" s="260" t="s">
        <v>19</v>
      </c>
      <c r="H1" s="260" t="s">
        <v>20</v>
      </c>
      <c r="I1" s="260" t="s">
        <v>51</v>
      </c>
      <c r="J1" s="260" t="s">
        <v>21</v>
      </c>
      <c r="K1" s="260" t="s">
        <v>22</v>
      </c>
      <c r="L1" s="260" t="s">
        <v>23</v>
      </c>
      <c r="M1" s="260" t="s">
        <v>52</v>
      </c>
      <c r="N1" s="260" t="s">
        <v>24</v>
      </c>
      <c r="O1" s="260" t="s">
        <v>27</v>
      </c>
      <c r="P1" s="260" t="s">
        <v>25</v>
      </c>
      <c r="Q1" s="260" t="s">
        <v>26</v>
      </c>
      <c r="R1" s="260" t="s">
        <v>53</v>
      </c>
      <c r="S1" s="260" t="s">
        <v>29</v>
      </c>
      <c r="T1" s="260" t="s">
        <v>28</v>
      </c>
      <c r="U1" s="260" t="s">
        <v>30</v>
      </c>
      <c r="V1" s="260" t="s">
        <v>54</v>
      </c>
      <c r="W1" s="260" t="s">
        <v>31</v>
      </c>
      <c r="X1" s="260" t="s">
        <v>32</v>
      </c>
      <c r="Y1" s="260" t="s">
        <v>33</v>
      </c>
      <c r="Z1" s="260" t="s">
        <v>163</v>
      </c>
      <c r="AA1" s="260" t="s">
        <v>77</v>
      </c>
      <c r="AB1" s="260" t="s">
        <v>55</v>
      </c>
      <c r="AC1" s="260" t="s">
        <v>56</v>
      </c>
      <c r="AD1" s="260" t="s">
        <v>83</v>
      </c>
      <c r="AE1" s="260" t="s">
        <v>40</v>
      </c>
      <c r="AF1" s="260" t="s">
        <v>39</v>
      </c>
      <c r="AG1" s="260" t="s">
        <v>36</v>
      </c>
      <c r="AH1" s="260" t="s">
        <v>37</v>
      </c>
      <c r="AI1" s="260" t="s">
        <v>38</v>
      </c>
      <c r="AJ1" s="260" t="s">
        <v>81</v>
      </c>
      <c r="AK1" s="260" t="s">
        <v>78</v>
      </c>
    </row>
    <row r="2" spans="1:37" x14ac:dyDescent="0.2">
      <c r="A2" t="e">
        <f>IF(LEN(REPORT!A5)&gt;2,REPORT!A5,"")</f>
        <v>#REF!</v>
      </c>
      <c r="B2" t="str">
        <f>IFERROR(INDEX(REPORT!$A$2:$BZ$100,MATCH($A2,REPORT!$A$2:$A$100,0),MATCH(B$1,REPORT!$A$2:$BZ$2,0)),"")</f>
        <v/>
      </c>
      <c r="C2" t="str">
        <f>IFERROR(INDEX(REPORT!$A$2:$BZ$100,MATCH($A2,REPORT!$A$2:$A$100,0),MATCH(C$1,REPORT!$A$2:$BZ$2,0)),"")</f>
        <v/>
      </c>
      <c r="D2" t="str">
        <f>IFERROR(INDEX(REPORT!$A$4:$BZ$100,MATCH($A2,REPORT!$A$4:$A$100,0),MATCH(D$1,REPORT!$A$4:$BZ$4,0)),"")</f>
        <v/>
      </c>
      <c r="E2" t="str">
        <f>IFERROR(INDEX(REPORT!$A$4:$BZ$100,MATCH($A2,REPORT!$A$4:$A$100,0),MATCH(E$1,REPORT!$A$4:$BZ$4,0)),"")</f>
        <v/>
      </c>
      <c r="F2" t="str">
        <f>IFERROR(INDEX(REPORT!$A$4:$BZ$100,MATCH($A2,REPORT!$A$4:$A$100,0),MATCH(F$1,REPORT!$A$4:$BZ$4,0)),"")</f>
        <v/>
      </c>
      <c r="G2" t="str">
        <f>IFERROR(INDEX(REPORT!$A$4:$BZ$100,MATCH($A2,REPORT!$A$4:$A$100,0),MATCH(G$1,REPORT!$A$4:$BZ$4,0)),"")</f>
        <v/>
      </c>
      <c r="H2" t="str">
        <f>IFERROR(INDEX(REPORT!$A$4:$BZ$100,MATCH($A2,REPORT!$A$4:$A$100,0),MATCH(H$1,REPORT!$A$4:$BZ$4,0)),"")</f>
        <v/>
      </c>
      <c r="I2" t="str">
        <f>IFERROR(INDEX(REPORT!$A$4:$BZ$100,MATCH($A2,REPORT!$A$4:$A$100,0),MATCH(I$1,REPORT!$A$4:$BZ$4,0)),"")</f>
        <v/>
      </c>
      <c r="J2" t="str">
        <f>IFERROR(INDEX(REPORT!$A$4:$BZ$100,MATCH($A2,REPORT!$A$4:$A$100,0),MATCH(J$1,REPORT!$A$4:$BZ$4,0)),"")</f>
        <v/>
      </c>
      <c r="K2" t="str">
        <f>IFERROR(INDEX(REPORT!$A$4:$BZ$100,MATCH($A2,REPORT!$A$4:$A$100,0),MATCH(K$1,REPORT!$A$4:$BZ$4,0)),"")</f>
        <v/>
      </c>
      <c r="L2" t="str">
        <f>IFERROR(INDEX(REPORT!$A$4:$BZ$100,MATCH($A2,REPORT!$A$4:$A$100,0),MATCH(L$1,REPORT!$A$4:$BZ$4,0)),"")</f>
        <v/>
      </c>
      <c r="M2" t="str">
        <f>IFERROR(INDEX(REPORT!$A$4:$BZ$100,MATCH($A2,REPORT!$A$4:$A$100,0),MATCH(M$1,REPORT!$A$4:$BZ$4,0)),"")</f>
        <v/>
      </c>
      <c r="N2" t="str">
        <f>IFERROR(INDEX(REPORT!$A$4:$BZ$100,MATCH($A2,REPORT!$A$4:$A$100,0),MATCH(N$1,REPORT!$A$4:$BZ$4,0)),"")</f>
        <v/>
      </c>
      <c r="O2" t="str">
        <f>IFERROR(INDEX(REPORT!$A$4:$BZ$100,MATCH($A2,REPORT!$A$4:$A$100,0),MATCH(O$1,REPORT!$A$4:$BZ$4,0)),"")</f>
        <v/>
      </c>
      <c r="P2" t="str">
        <f>IFERROR(INDEX(REPORT!$A$4:$BZ$100,MATCH($A2,REPORT!$A$4:$A$100,0),MATCH(P$1,REPORT!$A$4:$BZ$4,0)),"")</f>
        <v/>
      </c>
      <c r="Q2" t="str">
        <f>IFERROR(INDEX(REPORT!$A$4:$BZ$100,MATCH($A2,REPORT!$A$4:$A$100,0),MATCH(Q$1,REPORT!$A$4:$BZ$4,0)),"")</f>
        <v/>
      </c>
      <c r="R2" t="str">
        <f>IFERROR(INDEX(REPORT!$A$4:$BZ$100,MATCH($A2,REPORT!$A$4:$A$100,0),MATCH(R$1,REPORT!$A$4:$BZ$4,0)),"")</f>
        <v/>
      </c>
      <c r="S2" t="str">
        <f>IFERROR(INDEX(REPORT!$A$4:$BZ$100,MATCH($A2,REPORT!$A$4:$A$100,0),MATCH(S$1,REPORT!$A$4:$BZ$4,0)),"")</f>
        <v/>
      </c>
      <c r="T2" t="str">
        <f>IFERROR(INDEX(REPORT!$A$4:$BZ$100,MATCH($A2,REPORT!$A$4:$A$100,0),MATCH(T$1,REPORT!$A$4:$BZ$4,0)),"")</f>
        <v/>
      </c>
      <c r="U2" t="str">
        <f>IFERROR(INDEX(REPORT!$A$4:$BZ$100,MATCH($A2,REPORT!$A$4:$A$100,0),MATCH(U$1,REPORT!$A$4:$BZ$4,0)),"")</f>
        <v/>
      </c>
      <c r="V2" t="str">
        <f>IFERROR(INDEX(REPORT!$A$4:$BZ$100,MATCH($A2,REPORT!$A$4:$A$100,0),MATCH(V$1,REPORT!$A$4:$BZ$4,0)),"")</f>
        <v/>
      </c>
      <c r="W2" t="str">
        <f>IFERROR(INDEX(REPORT!$A$4:$BZ$100,MATCH($A2,REPORT!$A$4:$A$100,0),MATCH(W$1,REPORT!$A$4:$BZ$4,0)),"")</f>
        <v/>
      </c>
      <c r="X2" t="str">
        <f>IFERROR(INDEX(REPORT!$A$4:$BZ$100,MATCH($A2,REPORT!$A$4:$A$100,0),MATCH(X$1,REPORT!$A$4:$BZ$4,0)),"")</f>
        <v/>
      </c>
      <c r="Y2" t="str">
        <f>IFERROR(INDEX(REPORT!$A$4:$BZ$100,MATCH($A2,REPORT!$A$4:$A$100,0),MATCH(Y$1,REPORT!$A$4:$BZ$4,0)),"")</f>
        <v/>
      </c>
      <c r="Z2" t="str">
        <f>IFERROR(INDEX(REPORT!$A$4:$BZ$100,MATCH($A2,REPORT!$A$4:$A$100,0),MATCH(Z$1,REPORT!$A$4:$BZ$4,0)),"")</f>
        <v/>
      </c>
      <c r="AA2" t="str">
        <f>IFERROR(INDEX(REPORT!$A$4:$BZ$100,MATCH($A2,REPORT!$A$4:$A$100,0),MATCH(AA$1,REPORT!$A$4:$BZ$4,0)),"")</f>
        <v/>
      </c>
      <c r="AB2" t="str">
        <f>IFERROR(INDEX(REPORT!$A$4:$BZ$100,MATCH($A2,REPORT!$A$4:$A$100,0),MATCH(AB$1,REPORT!$A$4:$BZ$4,0)),"")</f>
        <v/>
      </c>
      <c r="AC2" t="str">
        <f>IFERROR(INDEX(REPORT!$A$4:$BZ$100,MATCH($A2,REPORT!$A$4:$A$100,0),MATCH(AC$1,REPORT!$A$4:$BZ$4,0)),"")</f>
        <v/>
      </c>
      <c r="AD2" t="str">
        <f>IFERROR(INDEX(REPORT!$A$4:$BZ$100,MATCH($A2,REPORT!$A$4:$A$100,0),MATCH(AD$1,REPORT!$A$4:$BZ$4,0)),"")</f>
        <v/>
      </c>
      <c r="AE2" t="str">
        <f>IFERROR(INDEX(REPORT!$A$4:$BZ$100,MATCH($A2,REPORT!$A$4:$A$100,0),MATCH(AE$1,REPORT!$A$4:$BZ$4,0)),"")</f>
        <v/>
      </c>
      <c r="AF2" t="str">
        <f>IFERROR(INDEX(REPORT!$A$4:$BZ$100,MATCH($A2,REPORT!$A$4:$A$100,0),MATCH(AF$1,REPORT!$A$4:$BZ$4,0)),"")</f>
        <v/>
      </c>
      <c r="AG2" t="str">
        <f>IFERROR(INDEX(REPORT!$A$4:$BZ$100,MATCH($A2,REPORT!$A$4:$A$100,0),MATCH(AG$1,REPORT!$A$4:$BZ$4,0)),"")</f>
        <v/>
      </c>
      <c r="AH2" t="str">
        <f>IFERROR(INDEX(REPORT!$A$4:$BZ$100,MATCH($A2,REPORT!$A$4:$A$100,0),MATCH(AH$1,REPORT!$A$4:$BZ$4,0)),"")</f>
        <v/>
      </c>
      <c r="AI2" t="str">
        <f>IFERROR(INDEX(REPORT!$A$4:$BZ$100,MATCH($A2,REPORT!$A$4:$A$100,0),MATCH(AI$1,REPORT!$A$4:$BZ$4,0)),"")</f>
        <v/>
      </c>
      <c r="AJ2" t="str">
        <f>IFERROR(INDEX(REPORT!$A$4:$BZ$100,MATCH($A2,REPORT!$A$4:$A$100,0),MATCH(AJ$1,REPORT!$A$4:$BZ$4,0)),"")</f>
        <v/>
      </c>
      <c r="AK2" t="str">
        <f>IFERROR(INDEX(REPORT!$A$4:$BZ$100,MATCH($A2,REPORT!$A$4:$A$100,0),MATCH(AK$1,REPORT!$A$4:$BZ$4,0)),"")</f>
        <v/>
      </c>
    </row>
    <row r="3" spans="1:37" x14ac:dyDescent="0.2">
      <c r="A3" t="str">
        <f>IF(LEN(REPORT!A6)&gt;2,REPORT!A6,"")</f>
        <v>BENETAS</v>
      </c>
      <c r="B3">
        <f>IFERROR(INDEX(REPORT!$A$2:$BZ$100,MATCH($A3,REPORT!$A$2:$A$100,0),MATCH(B$1,REPORT!$A$2:$BZ$2,0)),"")</f>
        <v>0.52286507936507931</v>
      </c>
      <c r="C3">
        <f>IFERROR(INDEX(REPORT!$A$2:$BZ$100,MATCH($A3,REPORT!$A$2:$A$100,0),MATCH(C$1,REPORT!$A$2:$BZ$2,0)),"")</f>
        <v>0.46388888888888885</v>
      </c>
      <c r="D3">
        <f>IFERROR(INDEX(REPORT!$A$4:$BZ$100,MATCH($A3,REPORT!$A$4:$A$100,0),MATCH(D$1,REPORT!$A$4:$BZ$4,0)),"")</f>
        <v>0.16666666666666666</v>
      </c>
      <c r="E3">
        <f>IFERROR(INDEX(REPORT!$A$4:$BZ$100,MATCH($A3,REPORT!$A$4:$A$100,0),MATCH(E$1,REPORT!$A$4:$BZ$4,0)),"")</f>
        <v>0</v>
      </c>
      <c r="F3">
        <f>IFERROR(INDEX(REPORT!$A$4:$BZ$100,MATCH($A3,REPORT!$A$4:$A$100,0),MATCH(F$1,REPORT!$A$4:$BZ$4,0)),"")</f>
        <v>0</v>
      </c>
      <c r="G3">
        <f>IFERROR(INDEX(REPORT!$A$4:$BZ$100,MATCH($A3,REPORT!$A$4:$A$100,0),MATCH(G$1,REPORT!$A$4:$BZ$4,0)),"")</f>
        <v>0.66666666666666663</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0.5</v>
      </c>
      <c r="N3">
        <f>IFERROR(INDEX(REPORT!$A$4:$BZ$100,MATCH($A3,REPORT!$A$4:$A$100,0),MATCH(N$1,REPORT!$A$4:$BZ$4,0)),"")</f>
        <v>1</v>
      </c>
      <c r="O3">
        <f>IFERROR(INDEX(REPORT!$A$4:$BZ$100,MATCH($A3,REPORT!$A$4:$A$100,0),MATCH(O$1,REPORT!$A$4:$BZ$4,0)),"")</f>
        <v>0</v>
      </c>
      <c r="P3">
        <f>IFERROR(INDEX(REPORT!$A$4:$BZ$100,MATCH($A3,REPORT!$A$4:$A$100,0),MATCH(P$1,REPORT!$A$4:$BZ$4,0)),"")</f>
        <v>0</v>
      </c>
      <c r="Q3">
        <f>IFERROR(INDEX(REPORT!$A$4:$BZ$100,MATCH($A3,REPORT!$A$4:$A$100,0),MATCH(Q$1,REPORT!$A$4:$BZ$4,0)),"")</f>
        <v>1</v>
      </c>
      <c r="R3">
        <f>IFERROR(INDEX(REPORT!$A$4:$BZ$100,MATCH($A3,REPORT!$A$4:$A$100,0),MATCH(R$1,REPORT!$A$4:$BZ$4,0)),"")</f>
        <v>0.22222222222222221</v>
      </c>
      <c r="S3">
        <f>IFERROR(INDEX(REPORT!$A$4:$BZ$100,MATCH($A3,REPORT!$A$4:$A$100,0),MATCH(S$1,REPORT!$A$4:$BZ$4,0)),"")</f>
        <v>0</v>
      </c>
      <c r="T3">
        <f>IFERROR(INDEX(REPORT!$A$4:$BZ$100,MATCH($A3,REPORT!$A$4:$A$100,0),MATCH(T$1,REPORT!$A$4:$BZ$4,0)),"")</f>
        <v>0</v>
      </c>
      <c r="U3">
        <f>IFERROR(INDEX(REPORT!$A$4:$BZ$100,MATCH($A3,REPORT!$A$4:$A$100,0),MATCH(U$1,REPORT!$A$4:$BZ$4,0)),"")</f>
        <v>0.66666666666666663</v>
      </c>
      <c r="V3">
        <f>IFERROR(INDEX(REPORT!$A$4:$BZ$100,MATCH($A3,REPORT!$A$4:$A$100,0),MATCH(V$1,REPORT!$A$4:$BZ$4,0)),"")</f>
        <v>0.91666666666666663</v>
      </c>
      <c r="W3">
        <f>IFERROR(INDEX(REPORT!$A$4:$BZ$100,MATCH($A3,REPORT!$A$4:$A$100,0),MATCH(W$1,REPORT!$A$4:$BZ$4,0)),"")</f>
        <v>1</v>
      </c>
      <c r="X3">
        <f>IFERROR(INDEX(REPORT!$A$4:$BZ$100,MATCH($A3,REPORT!$A$4:$A$100,0),MATCH(X$1,REPORT!$A$4:$BZ$4,0)),"")</f>
        <v>1</v>
      </c>
      <c r="Y3">
        <f>IFERROR(INDEX(REPORT!$A$4:$BZ$100,MATCH($A3,REPORT!$A$4:$A$100,0),MATCH(Y$1,REPORT!$A$4:$BZ$4,0)),"")</f>
        <v>0.66666666666666663</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2.7199074074074074E-3</v>
      </c>
      <c r="AF3">
        <f>IFERROR(INDEX(REPORT!$A$4:$BZ$100,MATCH($A3,REPORT!$A$4:$A$100,0),MATCH(AF$1,REPORT!$A$4:$BZ$4,0)),"")</f>
        <v>4.666666666666667</v>
      </c>
      <c r="AG3">
        <f>IFERROR(INDEX(REPORT!$A$4:$BZ$100,MATCH($A3,REPORT!$A$4:$A$100,0),MATCH(AG$1,REPORT!$A$4:$BZ$4,0)),"")</f>
        <v>0.33333333333333331</v>
      </c>
      <c r="AH3">
        <f>IFERROR(INDEX(REPORT!$A$4:$BZ$100,MATCH($A3,REPORT!$A$4:$A$100,0),MATCH(AH$1,REPORT!$A$4:$BZ$4,0)),"")</f>
        <v>0.33333333333333331</v>
      </c>
      <c r="AI3">
        <f>IFERROR(INDEX(REPORT!$A$4:$BZ$100,MATCH($A3,REPORT!$A$4:$A$100,0),MATCH(AI$1,REPORT!$A$4:$BZ$4,0)),"")</f>
        <v>1</v>
      </c>
      <c r="AJ3">
        <f>IFERROR(INDEX(REPORT!$A$4:$BZ$100,MATCH($A3,REPORT!$A$4:$A$100,0),MATCH(AJ$1,REPORT!$A$4:$BZ$4,0)),"")</f>
        <v>0</v>
      </c>
      <c r="AK3">
        <f>IFERROR(INDEX(REPORT!$A$4:$BZ$100,MATCH($A3,REPORT!$A$4:$A$100,0),MATCH(AK$1,REPORT!$A$4:$BZ$4,0)),"")</f>
        <v>5.3742283950617281E-3</v>
      </c>
    </row>
    <row r="4" spans="1:37" x14ac:dyDescent="0.2">
      <c r="A4" t="str">
        <f>IF(LEN(REPORT!A7)&gt;2,REPORT!A7,"")</f>
        <v>BLUE CARE</v>
      </c>
      <c r="B4">
        <f>IFERROR(INDEX(REPORT!$A$2:$BZ$100,MATCH($A4,REPORT!$A$2:$A$100,0),MATCH(B$1,REPORT!$A$2:$BZ$2,0)),"")</f>
        <v>0.61345039682539682</v>
      </c>
      <c r="C4">
        <f>IFERROR(INDEX(REPORT!$A$2:$BZ$100,MATCH($A4,REPORT!$A$2:$A$100,0),MATCH(C$1,REPORT!$A$2:$BZ$2,0)),"")</f>
        <v>0.55694444444444446</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0.55555555555555547</v>
      </c>
      <c r="J4">
        <f>IFERROR(INDEX(REPORT!$A$4:$BZ$100,MATCH($A4,REPORT!$A$4:$A$100,0),MATCH(J$1,REPORT!$A$4:$BZ$4,0)),"")</f>
        <v>0</v>
      </c>
      <c r="K4">
        <f>IFERROR(INDEX(REPORT!$A$4:$BZ$100,MATCH($A4,REPORT!$A$4:$A$100,0),MATCH(K$1,REPORT!$A$4:$BZ$4,0)),"")</f>
        <v>1</v>
      </c>
      <c r="L4">
        <f>IFERROR(INDEX(REPORT!$A$4:$BZ$100,MATCH($A4,REPORT!$A$4:$A$100,0),MATCH(L$1,REPORT!$A$4:$BZ$4,0)),"")</f>
        <v>0.66666666666666663</v>
      </c>
      <c r="M4">
        <f>IFERROR(INDEX(REPORT!$A$4:$BZ$100,MATCH($A4,REPORT!$A$4:$A$100,0),MATCH(M$1,REPORT!$A$4:$BZ$4,0)),"")</f>
        <v>0.58333333333333326</v>
      </c>
      <c r="N4">
        <f>IFERROR(INDEX(REPORT!$A$4:$BZ$100,MATCH($A4,REPORT!$A$4:$A$100,0),MATCH(N$1,REPORT!$A$4:$BZ$4,0)),"")</f>
        <v>1</v>
      </c>
      <c r="O4">
        <f>IFERROR(INDEX(REPORT!$A$4:$BZ$100,MATCH($A4,REPORT!$A$4:$A$100,0),MATCH(O$1,REPORT!$A$4:$BZ$4,0)),"")</f>
        <v>0</v>
      </c>
      <c r="P4">
        <f>IFERROR(INDEX(REPORT!$A$4:$BZ$100,MATCH($A4,REPORT!$A$4:$A$100,0),MATCH(P$1,REPORT!$A$4:$BZ$4,0)),"")</f>
        <v>0.33333333333333331</v>
      </c>
      <c r="Q4">
        <f>IFERROR(INDEX(REPORT!$A$4:$BZ$100,MATCH($A4,REPORT!$A$4:$A$100,0),MATCH(Q$1,REPORT!$A$4:$BZ$4,0)),"")</f>
        <v>1</v>
      </c>
      <c r="R4">
        <f>IFERROR(INDEX(REPORT!$A$4:$BZ$100,MATCH($A4,REPORT!$A$4:$A$100,0),MATCH(R$1,REPORT!$A$4:$BZ$4,0)),"")</f>
        <v>0.44444444444444442</v>
      </c>
      <c r="S4">
        <f>IFERROR(INDEX(REPORT!$A$4:$BZ$100,MATCH($A4,REPORT!$A$4:$A$100,0),MATCH(S$1,REPORT!$A$4:$BZ$4,0)),"")</f>
        <v>0.33333333333333331</v>
      </c>
      <c r="T4">
        <f>IFERROR(INDEX(REPORT!$A$4:$BZ$100,MATCH($A4,REPORT!$A$4:$A$100,0),MATCH(T$1,REPORT!$A$4:$BZ$4,0)),"")</f>
        <v>0</v>
      </c>
      <c r="U4">
        <f>IFERROR(INDEX(REPORT!$A$4:$BZ$100,MATCH($A4,REPORT!$A$4:$A$100,0),MATCH(U$1,REPORT!$A$4:$BZ$4,0)),"")</f>
        <v>1</v>
      </c>
      <c r="V4">
        <f>IFERROR(INDEX(REPORT!$A$4:$BZ$100,MATCH($A4,REPORT!$A$4:$A$100,0),MATCH(V$1,REPORT!$A$4:$BZ$4,0)),"")</f>
        <v>0.91666666666666663</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1.6550925925925926E-3</v>
      </c>
      <c r="AF4">
        <f>IFERROR(INDEX(REPORT!$A$4:$BZ$100,MATCH($A4,REPORT!$A$4:$A$100,0),MATCH(AF$1,REPORT!$A$4:$BZ$4,0)),"")</f>
        <v>5</v>
      </c>
      <c r="AG4">
        <f>IFERROR(INDEX(REPORT!$A$4:$BZ$100,MATCH($A4,REPORT!$A$4:$A$100,0),MATCH(AG$1,REPORT!$A$4:$BZ$4,0)),"")</f>
        <v>0</v>
      </c>
      <c r="AH4">
        <f>IFERROR(INDEX(REPORT!$A$4:$BZ$100,MATCH($A4,REPORT!$A$4:$A$100,0),MATCH(AH$1,REPORT!$A$4:$BZ$4,0)),"")</f>
        <v>0.33333333333333331</v>
      </c>
      <c r="AI4">
        <f>IFERROR(INDEX(REPORT!$A$4:$BZ$100,MATCH($A4,REPORT!$A$4:$A$100,0),MATCH(AI$1,REPORT!$A$4:$BZ$4,0)),"")</f>
        <v>1</v>
      </c>
      <c r="AJ4">
        <f>IFERROR(INDEX(REPORT!$A$4:$BZ$100,MATCH($A4,REPORT!$A$4:$A$100,0),MATCH(AJ$1,REPORT!$A$4:$BZ$4,0)),"")</f>
        <v>0</v>
      </c>
      <c r="AK4">
        <f>IFERROR(INDEX(REPORT!$A$4:$BZ$100,MATCH($A4,REPORT!$A$4:$A$100,0),MATCH(AK$1,REPORT!$A$4:$BZ$4,0)),"")</f>
        <v>3.5532407407407405E-3</v>
      </c>
    </row>
    <row r="5" spans="1:37" x14ac:dyDescent="0.2">
      <c r="A5" t="str">
        <f>IF(LEN(REPORT!A8)&gt;2,REPORT!A8,"")</f>
        <v>BOLTON CLARKE</v>
      </c>
      <c r="B5">
        <f>IFERROR(INDEX(REPORT!$A$2:$BZ$100,MATCH($A5,REPORT!$A$2:$A$100,0),MATCH(B$1,REPORT!$A$2:$BZ$2,0)),"")</f>
        <v>0.56544444444444442</v>
      </c>
      <c r="C5">
        <f>IFERROR(INDEX(REPORT!$A$2:$BZ$100,MATCH($A5,REPORT!$A$2:$A$100,0),MATCH(C$1,REPORT!$A$2:$BZ$2,0)),"")</f>
        <v>0.44861111111111113</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0.55555555555555547</v>
      </c>
      <c r="J5">
        <f>IFERROR(INDEX(REPORT!$A$4:$BZ$100,MATCH($A5,REPORT!$A$4:$A$100,0),MATCH(J$1,REPORT!$A$4:$BZ$4,0)),"")</f>
        <v>0</v>
      </c>
      <c r="K5">
        <f>IFERROR(INDEX(REPORT!$A$4:$BZ$100,MATCH($A5,REPORT!$A$4:$A$100,0),MATCH(K$1,REPORT!$A$4:$BZ$4,0)),"")</f>
        <v>1</v>
      </c>
      <c r="L5">
        <f>IFERROR(INDEX(REPORT!$A$4:$BZ$100,MATCH($A5,REPORT!$A$4:$A$100,0),MATCH(L$1,REPORT!$A$4:$BZ$4,0)),"")</f>
        <v>0.66666666666666663</v>
      </c>
      <c r="M5">
        <f>IFERROR(INDEX(REPORT!$A$4:$BZ$100,MATCH($A5,REPORT!$A$4:$A$100,0),MATCH(M$1,REPORT!$A$4:$BZ$4,0)),"")</f>
        <v>0.41666666666666663</v>
      </c>
      <c r="N5">
        <f>IFERROR(INDEX(REPORT!$A$4:$BZ$100,MATCH($A5,REPORT!$A$4:$A$100,0),MATCH(N$1,REPORT!$A$4:$BZ$4,0)),"")</f>
        <v>0.33333333333333331</v>
      </c>
      <c r="O5">
        <f>IFERROR(INDEX(REPORT!$A$4:$BZ$100,MATCH($A5,REPORT!$A$4:$A$100,0),MATCH(O$1,REPORT!$A$4:$BZ$4,0)),"")</f>
        <v>0</v>
      </c>
      <c r="P5">
        <f>IFERROR(INDEX(REPORT!$A$4:$BZ$100,MATCH($A5,REPORT!$A$4:$A$100,0),MATCH(P$1,REPORT!$A$4:$BZ$4,0)),"")</f>
        <v>0.33333333333333331</v>
      </c>
      <c r="Q5">
        <f>IFERROR(INDEX(REPORT!$A$4:$BZ$100,MATCH($A5,REPORT!$A$4:$A$100,0),MATCH(Q$1,REPORT!$A$4:$BZ$4,0)),"")</f>
        <v>1</v>
      </c>
      <c r="R5">
        <f>IFERROR(INDEX(REPORT!$A$4:$BZ$100,MATCH($A5,REPORT!$A$4:$A$100,0),MATCH(R$1,REPORT!$A$4:$BZ$4,0)),"")</f>
        <v>0.33333333333333331</v>
      </c>
      <c r="S5">
        <f>IFERROR(INDEX(REPORT!$A$4:$BZ$100,MATCH($A5,REPORT!$A$4:$A$100,0),MATCH(S$1,REPORT!$A$4:$BZ$4,0)),"")</f>
        <v>0</v>
      </c>
      <c r="T5">
        <f>IFERROR(INDEX(REPORT!$A$4:$BZ$100,MATCH($A5,REPORT!$A$4:$A$100,0),MATCH(T$1,REPORT!$A$4:$BZ$4,0)),"")</f>
        <v>0</v>
      </c>
      <c r="U5">
        <f>IFERROR(INDEX(REPORT!$A$4:$BZ$100,MATCH($A5,REPORT!$A$4:$A$100,0),MATCH(U$1,REPORT!$A$4:$BZ$4,0)),"")</f>
        <v>1</v>
      </c>
      <c r="V5">
        <f>IFERROR(INDEX(REPORT!$A$4:$BZ$100,MATCH($A5,REPORT!$A$4:$A$100,0),MATCH(V$1,REPORT!$A$4:$BZ$4,0)),"")</f>
        <v>0.66666666666666663</v>
      </c>
      <c r="W5">
        <f>IFERROR(INDEX(REPORT!$A$4:$BZ$100,MATCH($A5,REPORT!$A$4:$A$100,0),MATCH(W$1,REPORT!$A$4:$BZ$4,0)),"")</f>
        <v>1</v>
      </c>
      <c r="X5">
        <f>IFERROR(INDEX(REPORT!$A$4:$BZ$100,MATCH($A5,REPORT!$A$4:$A$100,0),MATCH(X$1,REPORT!$A$4:$BZ$4,0)),"")</f>
        <v>0.33333333333333331</v>
      </c>
      <c r="Y5">
        <f>IFERROR(INDEX(REPORT!$A$4:$BZ$100,MATCH($A5,REPORT!$A$4:$A$100,0),MATCH(Y$1,REPORT!$A$4:$BZ$4,0)),"")</f>
        <v>1</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2.5462962962962965E-3</v>
      </c>
      <c r="AF5">
        <f>IFERROR(INDEX(REPORT!$A$4:$BZ$100,MATCH($A5,REPORT!$A$4:$A$100,0),MATCH(AF$1,REPORT!$A$4:$BZ$4,0)),"")</f>
        <v>3.6666666666666665</v>
      </c>
      <c r="AG5">
        <f>IFERROR(INDEX(REPORT!$A$4:$BZ$100,MATCH($A5,REPORT!$A$4:$A$100,0),MATCH(AG$1,REPORT!$A$4:$BZ$4,0)),"")</f>
        <v>0</v>
      </c>
      <c r="AH5">
        <f>IFERROR(INDEX(REPORT!$A$4:$BZ$100,MATCH($A5,REPORT!$A$4:$A$100,0),MATCH(AH$1,REPORT!$A$4:$BZ$4,0)),"")</f>
        <v>0</v>
      </c>
      <c r="AI5">
        <f>IFERROR(INDEX(REPORT!$A$4:$BZ$100,MATCH($A5,REPORT!$A$4:$A$100,0),MATCH(AI$1,REPORT!$A$4:$BZ$4,0)),"")</f>
        <v>0.66666666666666663</v>
      </c>
      <c r="AJ5">
        <f>IFERROR(INDEX(REPORT!$A$4:$BZ$100,MATCH($A5,REPORT!$A$4:$A$100,0),MATCH(AJ$1,REPORT!$A$4:$BZ$4,0)),"")</f>
        <v>0</v>
      </c>
      <c r="AK5">
        <f>IFERROR(INDEX(REPORT!$A$4:$BZ$100,MATCH($A5,REPORT!$A$4:$A$100,0),MATCH(AK$1,REPORT!$A$4:$BZ$4,0)),"")</f>
        <v>3.8618827160493826E-3</v>
      </c>
    </row>
    <row r="6" spans="1:37" x14ac:dyDescent="0.2">
      <c r="A6" t="str">
        <f>IF(LEN(REPORT!A9)&gt;2,REPORT!A9,"")</f>
        <v>HAMMONDCARE</v>
      </c>
      <c r="B6">
        <f>IFERROR(INDEX(REPORT!$A$2:$BZ$100,MATCH($A6,REPORT!$A$2:$A$100,0),MATCH(B$1,REPORT!$A$2:$BZ$2,0)),"")</f>
        <v>0.64930555555555558</v>
      </c>
      <c r="C6">
        <f>IFERROR(INDEX(REPORT!$A$2:$BZ$100,MATCH($A6,REPORT!$A$2:$A$100,0),MATCH(C$1,REPORT!$A$2:$BZ$2,0)),"")</f>
        <v>0.59722222222222221</v>
      </c>
      <c r="D6">
        <f>IFERROR(INDEX(REPORT!$A$4:$BZ$100,MATCH($A6,REPORT!$A$4:$A$100,0),MATCH(D$1,REPORT!$A$4:$BZ$4,0)),"")</f>
        <v>0.33333333333333331</v>
      </c>
      <c r="E6">
        <f>IFERROR(INDEX(REPORT!$A$4:$BZ$100,MATCH($A6,REPORT!$A$4:$A$100,0),MATCH(E$1,REPORT!$A$4:$BZ$4,0)),"")</f>
        <v>1</v>
      </c>
      <c r="F6">
        <f>IFERROR(INDEX(REPORT!$A$4:$BZ$100,MATCH($A6,REPORT!$A$4:$A$100,0),MATCH(F$1,REPORT!$A$4:$BZ$4,0)),"")</f>
        <v>0</v>
      </c>
      <c r="G6">
        <f>IFERROR(INDEX(REPORT!$A$4:$BZ$100,MATCH($A6,REPORT!$A$4:$A$100,0),MATCH(G$1,REPORT!$A$4:$BZ$4,0)),"")</f>
        <v>0.33333333333333331</v>
      </c>
      <c r="H6">
        <f>IFERROR(INDEX(REPORT!$A$4:$BZ$100,MATCH($A6,REPORT!$A$4:$A$100,0),MATCH(H$1,REPORT!$A$4:$BZ$4,0)),"")</f>
        <v>0</v>
      </c>
      <c r="I6">
        <f>IFERROR(INDEX(REPORT!$A$4:$BZ$100,MATCH($A6,REPORT!$A$4:$A$100,0),MATCH(I$1,REPORT!$A$4:$BZ$4,0)),"")</f>
        <v>0.77777777777777768</v>
      </c>
      <c r="J6">
        <f>IFERROR(INDEX(REPORT!$A$4:$BZ$100,MATCH($A6,REPORT!$A$4:$A$100,0),MATCH(J$1,REPORT!$A$4:$BZ$4,0)),"")</f>
        <v>0.33333333333333331</v>
      </c>
      <c r="K6">
        <f>IFERROR(INDEX(REPORT!$A$4:$BZ$100,MATCH($A6,REPORT!$A$4:$A$100,0),MATCH(K$1,REPORT!$A$4:$BZ$4,0)),"")</f>
        <v>1</v>
      </c>
      <c r="L6">
        <f>IFERROR(INDEX(REPORT!$A$4:$BZ$100,MATCH($A6,REPORT!$A$4:$A$100,0),MATCH(L$1,REPORT!$A$4:$BZ$4,0)),"")</f>
        <v>1</v>
      </c>
      <c r="M6">
        <f>IFERROR(INDEX(REPORT!$A$4:$BZ$100,MATCH($A6,REPORT!$A$4:$A$100,0),MATCH(M$1,REPORT!$A$4:$BZ$4,0)),"")</f>
        <v>0.5</v>
      </c>
      <c r="N6">
        <f>IFERROR(INDEX(REPORT!$A$4:$BZ$100,MATCH($A6,REPORT!$A$4:$A$100,0),MATCH(N$1,REPORT!$A$4:$BZ$4,0)),"")</f>
        <v>0.66666666666666663</v>
      </c>
      <c r="O6">
        <f>IFERROR(INDEX(REPORT!$A$4:$BZ$100,MATCH($A6,REPORT!$A$4:$A$100,0),MATCH(O$1,REPORT!$A$4:$BZ$4,0)),"")</f>
        <v>0</v>
      </c>
      <c r="P6">
        <f>IFERROR(INDEX(REPORT!$A$4:$BZ$100,MATCH($A6,REPORT!$A$4:$A$100,0),MATCH(P$1,REPORT!$A$4:$BZ$4,0)),"")</f>
        <v>0.33333333333333331</v>
      </c>
      <c r="Q6">
        <f>IFERROR(INDEX(REPORT!$A$4:$BZ$100,MATCH($A6,REPORT!$A$4:$A$100,0),MATCH(Q$1,REPORT!$A$4:$BZ$4,0)),"")</f>
        <v>1</v>
      </c>
      <c r="R6">
        <f>IFERROR(INDEX(REPORT!$A$4:$BZ$100,MATCH($A6,REPORT!$A$4:$A$100,0),MATCH(R$1,REPORT!$A$4:$BZ$4,0)),"")</f>
        <v>0.55555555555555547</v>
      </c>
      <c r="S6">
        <f>IFERROR(INDEX(REPORT!$A$4:$BZ$100,MATCH($A6,REPORT!$A$4:$A$100,0),MATCH(S$1,REPORT!$A$4:$BZ$4,0)),"")</f>
        <v>0</v>
      </c>
      <c r="T6">
        <f>IFERROR(INDEX(REPORT!$A$4:$BZ$100,MATCH($A6,REPORT!$A$4:$A$100,0),MATCH(T$1,REPORT!$A$4:$BZ$4,0)),"")</f>
        <v>0.66666666666666663</v>
      </c>
      <c r="U6">
        <f>IFERROR(INDEX(REPORT!$A$4:$BZ$100,MATCH($A6,REPORT!$A$4:$A$100,0),MATCH(U$1,REPORT!$A$4:$BZ$4,0)),"")</f>
        <v>1</v>
      </c>
      <c r="V6">
        <f>IFERROR(INDEX(REPORT!$A$4:$BZ$100,MATCH($A6,REPORT!$A$4:$A$100,0),MATCH(V$1,REPORT!$A$4:$BZ$4,0)),"")</f>
        <v>0.83333333333333337</v>
      </c>
      <c r="W6">
        <f>IFERROR(INDEX(REPORT!$A$4:$BZ$100,MATCH($A6,REPORT!$A$4:$A$100,0),MATCH(W$1,REPORT!$A$4:$BZ$4,0)),"")</f>
        <v>1</v>
      </c>
      <c r="X6">
        <f>IFERROR(INDEX(REPORT!$A$4:$BZ$100,MATCH($A6,REPORT!$A$4:$A$100,0),MATCH(X$1,REPORT!$A$4:$BZ$4,0)),"")</f>
        <v>1</v>
      </c>
      <c r="Y6">
        <f>IFERROR(INDEX(REPORT!$A$4:$BZ$100,MATCH($A6,REPORT!$A$4:$A$100,0),MATCH(Y$1,REPORT!$A$4:$BZ$4,0)),"")</f>
        <v>1</v>
      </c>
      <c r="Z6">
        <f>IFERROR(INDEX(REPORT!$A$4:$BZ$100,MATCH($A6,REPORT!$A$4:$A$100,0),MATCH(Z$1,REPORT!$A$4:$BZ$4,0)),"")</f>
        <v>0.33333333333333331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2.2492283950617284E-3</v>
      </c>
      <c r="AF6">
        <f>IFERROR(INDEX(REPORT!$A$4:$BZ$100,MATCH($A6,REPORT!$A$4:$A$100,0),MATCH(AF$1,REPORT!$A$4:$BZ$4,0)),"")</f>
        <v>5.666666666666667</v>
      </c>
      <c r="AG6">
        <f>IFERROR(INDEX(REPORT!$A$4:$BZ$100,MATCH($A6,REPORT!$A$4:$A$100,0),MATCH(AG$1,REPORT!$A$4:$BZ$4,0)),"")</f>
        <v>0</v>
      </c>
      <c r="AH6">
        <f>IFERROR(INDEX(REPORT!$A$4:$BZ$100,MATCH($A6,REPORT!$A$4:$A$100,0),MATCH(AH$1,REPORT!$A$4:$BZ$4,0)),"")</f>
        <v>0</v>
      </c>
      <c r="AI6">
        <f>IFERROR(INDEX(REPORT!$A$4:$BZ$100,MATCH($A6,REPORT!$A$4:$A$100,0),MATCH(AI$1,REPORT!$A$4:$BZ$4,0)),"")</f>
        <v>1</v>
      </c>
      <c r="AJ6">
        <f>IFERROR(INDEX(REPORT!$A$4:$BZ$100,MATCH($A6,REPORT!$A$4:$A$100,0),MATCH(AJ$1,REPORT!$A$4:$BZ$4,0)),"")</f>
        <v>0</v>
      </c>
      <c r="AK6">
        <f>IFERROR(INDEX(REPORT!$A$4:$BZ$100,MATCH($A6,REPORT!$A$4:$A$100,0),MATCH(AK$1,REPORT!$A$4:$BZ$4,0)),"")</f>
        <v>5.1774691358024696E-3</v>
      </c>
    </row>
    <row r="7" spans="1:37" x14ac:dyDescent="0.2">
      <c r="A7" t="str">
        <f>IF(LEN(REPORT!A10)&gt;2,REPORT!A10,"")</f>
        <v>SILVER CHAIN</v>
      </c>
      <c r="B7">
        <f>IFERROR(INDEX(REPORT!$A$2:$BZ$100,MATCH($A7,REPORT!$A$2:$A$100,0),MATCH(B$1,REPORT!$A$2:$BZ$2,0)),"")</f>
        <v>0.66270833333333323</v>
      </c>
      <c r="C7">
        <f>IFERROR(INDEX(REPORT!$A$2:$BZ$100,MATCH($A7,REPORT!$A$2:$A$100,0),MATCH(C$1,REPORT!$A$2:$BZ$2,0)),"")</f>
        <v>0.54166666666666663</v>
      </c>
      <c r="D7">
        <f>IFERROR(INDEX(REPORT!$A$4:$BZ$100,MATCH($A7,REPORT!$A$4:$A$100,0),MATCH(D$1,REPORT!$A$4:$BZ$4,0)),"")</f>
        <v>0.16666666666666666</v>
      </c>
      <c r="E7">
        <f>IFERROR(INDEX(REPORT!$A$4:$BZ$100,MATCH($A7,REPORT!$A$4:$A$100,0),MATCH(E$1,REPORT!$A$4:$BZ$4,0)),"")</f>
        <v>0.66666666666666663</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0.66666666666666663</v>
      </c>
      <c r="J7">
        <f>IFERROR(INDEX(REPORT!$A$4:$BZ$100,MATCH($A7,REPORT!$A$4:$A$100,0),MATCH(J$1,REPORT!$A$4:$BZ$4,0)),"")</f>
        <v>0</v>
      </c>
      <c r="K7">
        <f>IFERROR(INDEX(REPORT!$A$4:$BZ$100,MATCH($A7,REPORT!$A$4:$A$100,0),MATCH(K$1,REPORT!$A$4:$BZ$4,0)),"")</f>
        <v>1</v>
      </c>
      <c r="L7">
        <f>IFERROR(INDEX(REPORT!$A$4:$BZ$100,MATCH($A7,REPORT!$A$4:$A$100,0),MATCH(L$1,REPORT!$A$4:$BZ$4,0)),"")</f>
        <v>1</v>
      </c>
      <c r="M7">
        <f>IFERROR(INDEX(REPORT!$A$4:$BZ$100,MATCH($A7,REPORT!$A$4:$A$100,0),MATCH(M$1,REPORT!$A$4:$BZ$4,0)),"")</f>
        <v>0.5</v>
      </c>
      <c r="N7">
        <f>IFERROR(INDEX(REPORT!$A$4:$BZ$100,MATCH($A7,REPORT!$A$4:$A$100,0),MATCH(N$1,REPORT!$A$4:$BZ$4,0)),"")</f>
        <v>0.66666666666666663</v>
      </c>
      <c r="O7">
        <f>IFERROR(INDEX(REPORT!$A$4:$BZ$100,MATCH($A7,REPORT!$A$4:$A$100,0),MATCH(O$1,REPORT!$A$4:$BZ$4,0)),"")</f>
        <v>0</v>
      </c>
      <c r="P7">
        <f>IFERROR(INDEX(REPORT!$A$4:$BZ$100,MATCH($A7,REPORT!$A$4:$A$100,0),MATCH(P$1,REPORT!$A$4:$BZ$4,0)),"")</f>
        <v>0.33333333333333331</v>
      </c>
      <c r="Q7">
        <f>IFERROR(INDEX(REPORT!$A$4:$BZ$100,MATCH($A7,REPORT!$A$4:$A$100,0),MATCH(Q$1,REPORT!$A$4:$BZ$4,0)),"")</f>
        <v>1</v>
      </c>
      <c r="R7">
        <f>IFERROR(INDEX(REPORT!$A$4:$BZ$100,MATCH($A7,REPORT!$A$4:$A$100,0),MATCH(R$1,REPORT!$A$4:$BZ$4,0)),"")</f>
        <v>0.44444444444444442</v>
      </c>
      <c r="S7">
        <f>IFERROR(INDEX(REPORT!$A$4:$BZ$100,MATCH($A7,REPORT!$A$4:$A$100,0),MATCH(S$1,REPORT!$A$4:$BZ$4,0)),"")</f>
        <v>0.33333333333333331</v>
      </c>
      <c r="T7">
        <f>IFERROR(INDEX(REPORT!$A$4:$BZ$100,MATCH($A7,REPORT!$A$4:$A$100,0),MATCH(T$1,REPORT!$A$4:$BZ$4,0)),"")</f>
        <v>0.33333333333333331</v>
      </c>
      <c r="U7">
        <f>IFERROR(INDEX(REPORT!$A$4:$BZ$100,MATCH($A7,REPORT!$A$4:$A$100,0),MATCH(U$1,REPORT!$A$4:$BZ$4,0)),"")</f>
        <v>0.66666666666666663</v>
      </c>
      <c r="V7">
        <f>IFERROR(INDEX(REPORT!$A$4:$BZ$100,MATCH($A7,REPORT!$A$4:$A$100,0),MATCH(V$1,REPORT!$A$4:$BZ$4,0)),"")</f>
        <v>0.91666666666666663</v>
      </c>
      <c r="W7">
        <f>IFERROR(INDEX(REPORT!$A$4:$BZ$100,MATCH($A7,REPORT!$A$4:$A$100,0),MATCH(W$1,REPORT!$A$4:$BZ$4,0)),"")</f>
        <v>1</v>
      </c>
      <c r="X7">
        <f>IFERROR(INDEX(REPORT!$A$4:$BZ$100,MATCH($A7,REPORT!$A$4:$A$100,0),MATCH(X$1,REPORT!$A$4:$BZ$4,0)),"")</f>
        <v>1</v>
      </c>
      <c r="Y7">
        <f>IFERROR(INDEX(REPORT!$A$4:$BZ$100,MATCH($A7,REPORT!$A$4:$A$100,0),MATCH(Y$1,REPORT!$A$4:$BZ$4,0)),"")</f>
        <v>0.66666666666666663</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1.2538580246913582E-3</v>
      </c>
      <c r="AF7">
        <f>IFERROR(INDEX(REPORT!$A$4:$BZ$100,MATCH($A7,REPORT!$A$4:$A$100,0),MATCH(AF$1,REPORT!$A$4:$BZ$4,0)),"")</f>
        <v>5</v>
      </c>
      <c r="AG7">
        <f>IFERROR(INDEX(REPORT!$A$4:$BZ$100,MATCH($A7,REPORT!$A$4:$A$100,0),MATCH(AG$1,REPORT!$A$4:$BZ$4,0)),"")</f>
        <v>0</v>
      </c>
      <c r="AH7">
        <f>IFERROR(INDEX(REPORT!$A$4:$BZ$100,MATCH($A7,REPORT!$A$4:$A$100,0),MATCH(AH$1,REPORT!$A$4:$BZ$4,0)),"")</f>
        <v>0</v>
      </c>
      <c r="AI7">
        <f>IFERROR(INDEX(REPORT!$A$4:$BZ$100,MATCH($A7,REPORT!$A$4:$A$100,0),MATCH(AI$1,REPORT!$A$4:$BZ$4,0)),"")</f>
        <v>0.33333333333333331</v>
      </c>
      <c r="AJ7">
        <f>IFERROR(INDEX(REPORT!$A$4:$BZ$100,MATCH($A7,REPORT!$A$4:$A$100,0),MATCH(AJ$1,REPORT!$A$4:$BZ$4,0)),"")</f>
        <v>0</v>
      </c>
      <c r="AK7">
        <f>IFERROR(INDEX(REPORT!$A$4:$BZ$100,MATCH($A7,REPORT!$A$4:$A$100,0),MATCH(AK$1,REPORT!$A$4:$BZ$4,0)),"")</f>
        <v>1.8055555555555557E-3</v>
      </c>
    </row>
    <row r="8" spans="1:37" x14ac:dyDescent="0.2">
      <c r="A8" t="str">
        <f>IF(LEN(REPORT!A11)&gt;2,REPORT!A11,"")</f>
        <v>UNITING AGE WELL</v>
      </c>
      <c r="B8">
        <f>IFERROR(INDEX(REPORT!$A$2:$BZ$100,MATCH($A8,REPORT!$A$2:$A$100,0),MATCH(B$1,REPORT!$A$2:$BZ$2,0)),"")</f>
        <v>0.55326388888888889</v>
      </c>
      <c r="C8">
        <f>IFERROR(INDEX(REPORT!$A$2:$BZ$100,MATCH($A8,REPORT!$A$2:$A$100,0),MATCH(C$1,REPORT!$A$2:$BZ$2,0)),"")</f>
        <v>0.39305555555555555</v>
      </c>
      <c r="D8">
        <f>IFERROR(INDEX(REPORT!$A$4:$BZ$100,MATCH($A8,REPORT!$A$4:$A$100,0),MATCH(D$1,REPORT!$A$4:$BZ$4,0)),"")</f>
        <v>8.3333333333333329E-2</v>
      </c>
      <c r="E8">
        <f>IFERROR(INDEX(REPORT!$A$4:$BZ$100,MATCH($A8,REPORT!$A$4:$A$100,0),MATCH(E$1,REPORT!$A$4:$BZ$4,0)),"")</f>
        <v>0.33333333333333331</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0.44444444444444442</v>
      </c>
      <c r="J8">
        <f>IFERROR(INDEX(REPORT!$A$4:$BZ$100,MATCH($A8,REPORT!$A$4:$A$100,0),MATCH(J$1,REPORT!$A$4:$BZ$4,0)),"")</f>
        <v>0</v>
      </c>
      <c r="K8">
        <f>IFERROR(INDEX(REPORT!$A$4:$BZ$100,MATCH($A8,REPORT!$A$4:$A$100,0),MATCH(K$1,REPORT!$A$4:$BZ$4,0)),"")</f>
        <v>1</v>
      </c>
      <c r="L8">
        <f>IFERROR(INDEX(REPORT!$A$4:$BZ$100,MATCH($A8,REPORT!$A$4:$A$100,0),MATCH(L$1,REPORT!$A$4:$BZ$4,0)),"")</f>
        <v>0.33333333333333331</v>
      </c>
      <c r="M8">
        <f>IFERROR(INDEX(REPORT!$A$4:$BZ$100,MATCH($A8,REPORT!$A$4:$A$100,0),MATCH(M$1,REPORT!$A$4:$BZ$4,0)),"")</f>
        <v>0.41666666666666663</v>
      </c>
      <c r="N8">
        <f>IFERROR(INDEX(REPORT!$A$4:$BZ$100,MATCH($A8,REPORT!$A$4:$A$100,0),MATCH(N$1,REPORT!$A$4:$BZ$4,0)),"")</f>
        <v>0.33333333333333331</v>
      </c>
      <c r="O8">
        <f>IFERROR(INDEX(REPORT!$A$4:$BZ$100,MATCH($A8,REPORT!$A$4:$A$100,0),MATCH(O$1,REPORT!$A$4:$BZ$4,0)),"")</f>
        <v>0</v>
      </c>
      <c r="P8">
        <f>IFERROR(INDEX(REPORT!$A$4:$BZ$100,MATCH($A8,REPORT!$A$4:$A$100,0),MATCH(P$1,REPORT!$A$4:$BZ$4,0)),"")</f>
        <v>0.33333333333333331</v>
      </c>
      <c r="Q8">
        <f>IFERROR(INDEX(REPORT!$A$4:$BZ$100,MATCH($A8,REPORT!$A$4:$A$100,0),MATCH(Q$1,REPORT!$A$4:$BZ$4,0)),"")</f>
        <v>1</v>
      </c>
      <c r="R8">
        <f>IFERROR(INDEX(REPORT!$A$4:$BZ$100,MATCH($A8,REPORT!$A$4:$A$100,0),MATCH(R$1,REPORT!$A$4:$BZ$4,0)),"")</f>
        <v>0.44444444444444442</v>
      </c>
      <c r="S8">
        <f>IFERROR(INDEX(REPORT!$A$4:$BZ$100,MATCH($A8,REPORT!$A$4:$A$100,0),MATCH(S$1,REPORT!$A$4:$BZ$4,0)),"")</f>
        <v>0</v>
      </c>
      <c r="T8">
        <f>IFERROR(INDEX(REPORT!$A$4:$BZ$100,MATCH($A8,REPORT!$A$4:$A$100,0),MATCH(T$1,REPORT!$A$4:$BZ$4,0)),"")</f>
        <v>0.33333333333333331</v>
      </c>
      <c r="U8">
        <f>IFERROR(INDEX(REPORT!$A$4:$BZ$100,MATCH($A8,REPORT!$A$4:$A$100,0),MATCH(U$1,REPORT!$A$4:$BZ$4,0)),"")</f>
        <v>1</v>
      </c>
      <c r="V8">
        <f>IFERROR(INDEX(REPORT!$A$4:$BZ$100,MATCH($A8,REPORT!$A$4:$A$100,0),MATCH(V$1,REPORT!$A$4:$BZ$4,0)),"")</f>
        <v>0.58333333333333326</v>
      </c>
      <c r="W8">
        <f>IFERROR(INDEX(REPORT!$A$4:$BZ$100,MATCH($A8,REPORT!$A$4:$A$100,0),MATCH(W$1,REPORT!$A$4:$BZ$4,0)),"")</f>
        <v>1</v>
      </c>
      <c r="X8">
        <f>IFERROR(INDEX(REPORT!$A$4:$BZ$100,MATCH($A8,REPORT!$A$4:$A$100,0),MATCH(X$1,REPORT!$A$4:$BZ$4,0)),"")</f>
        <v>0.66666666666666663</v>
      </c>
      <c r="Y8">
        <f>IFERROR(INDEX(REPORT!$A$4:$BZ$100,MATCH($A8,REPORT!$A$4:$A$100,0),MATCH(Y$1,REPORT!$A$4:$BZ$4,0)),"")</f>
        <v>0.66666666666666663</v>
      </c>
      <c r="Z8">
        <f>IFERROR(INDEX(REPORT!$A$4:$BZ$100,MATCH($A8,REPORT!$A$4:$A$100,0),MATCH(Z$1,REPORT!$A$4:$BZ$4,0)),"")</f>
        <v>0</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1.508487654320988E-3</v>
      </c>
      <c r="AF8">
        <f>IFERROR(INDEX(REPORT!$A$4:$BZ$100,MATCH($A8,REPORT!$A$4:$A$100,0),MATCH(AF$1,REPORT!$A$4:$BZ$4,0)),"")</f>
        <v>4</v>
      </c>
      <c r="AG8">
        <f>IFERROR(INDEX(REPORT!$A$4:$BZ$100,MATCH($A8,REPORT!$A$4:$A$100,0),MATCH(AG$1,REPORT!$A$4:$BZ$4,0)),"")</f>
        <v>0</v>
      </c>
      <c r="AH8">
        <f>IFERROR(INDEX(REPORT!$A$4:$BZ$100,MATCH($A8,REPORT!$A$4:$A$100,0),MATCH(AH$1,REPORT!$A$4:$BZ$4,0)),"")</f>
        <v>0</v>
      </c>
      <c r="AI8">
        <f>IFERROR(INDEX(REPORT!$A$4:$BZ$100,MATCH($A8,REPORT!$A$4:$A$100,0),MATCH(AI$1,REPORT!$A$4:$BZ$4,0)),"")</f>
        <v>1</v>
      </c>
      <c r="AJ8">
        <f>IFERROR(INDEX(REPORT!$A$4:$BZ$100,MATCH($A8,REPORT!$A$4:$A$100,0),MATCH(AJ$1,REPORT!$A$4:$BZ$4,0)),"")</f>
        <v>0</v>
      </c>
      <c r="AK8">
        <f>IFERROR(INDEX(REPORT!$A$4:$BZ$100,MATCH($A8,REPORT!$A$4:$A$100,0),MATCH(AK$1,REPORT!$A$4:$BZ$4,0)),"")</f>
        <v>2.1334876543209879E-3</v>
      </c>
    </row>
    <row r="9" spans="1:37" x14ac:dyDescent="0.2">
      <c r="A9" t="str">
        <f>IF(LEN(REPORT!A12)&gt;2,REPORT!A12,"")</f>
        <v>UNITING NSW.ACT</v>
      </c>
      <c r="B9">
        <f>IFERROR(INDEX(REPORT!$A$2:$BZ$100,MATCH($A9,REPORT!$A$2:$A$100,0),MATCH(B$1,REPORT!$A$2:$BZ$2,0)),"")</f>
        <v>0.67395833333333344</v>
      </c>
      <c r="C9">
        <f>IFERROR(INDEX(REPORT!$A$2:$BZ$100,MATCH($A9,REPORT!$A$2:$A$100,0),MATCH(C$1,REPORT!$A$2:$BZ$2,0)),"")</f>
        <v>0.56666666666666676</v>
      </c>
      <c r="D9">
        <f>IFERROR(INDEX(REPORT!$A$4:$BZ$100,MATCH($A9,REPORT!$A$4:$A$100,0),MATCH(D$1,REPORT!$A$4:$BZ$4,0)),"")</f>
        <v>0.25</v>
      </c>
      <c r="E9">
        <f>IFERROR(INDEX(REPORT!$A$4:$BZ$100,MATCH($A9,REPORT!$A$4:$A$100,0),MATCH(E$1,REPORT!$A$4:$BZ$4,0)),"")</f>
        <v>1</v>
      </c>
      <c r="F9">
        <f>IFERROR(INDEX(REPORT!$A$4:$BZ$100,MATCH($A9,REPORT!$A$4:$A$100,0),MATCH(F$1,REPORT!$A$4:$BZ$4,0)),"")</f>
        <v>0</v>
      </c>
      <c r="G9">
        <f>IFERROR(INDEX(REPORT!$A$4:$BZ$100,MATCH($A9,REPORT!$A$4:$A$100,0),MATCH(G$1,REPORT!$A$4:$BZ$4,0)),"")</f>
        <v>0</v>
      </c>
      <c r="H9">
        <f>IFERROR(INDEX(REPORT!$A$4:$BZ$100,MATCH($A9,REPORT!$A$4:$A$100,0),MATCH(H$1,REPORT!$A$4:$BZ$4,0)),"")</f>
        <v>0</v>
      </c>
      <c r="I9">
        <f>IFERROR(INDEX(REPORT!$A$4:$BZ$100,MATCH($A9,REPORT!$A$4:$A$100,0),MATCH(I$1,REPORT!$A$4:$BZ$4,0)),"")</f>
        <v>0.66666666666666663</v>
      </c>
      <c r="J9">
        <f>IFERROR(INDEX(REPORT!$A$4:$BZ$100,MATCH($A9,REPORT!$A$4:$A$100,0),MATCH(J$1,REPORT!$A$4:$BZ$4,0)),"")</f>
        <v>0.33333333333333331</v>
      </c>
      <c r="K9">
        <f>IFERROR(INDEX(REPORT!$A$4:$BZ$100,MATCH($A9,REPORT!$A$4:$A$100,0),MATCH(K$1,REPORT!$A$4:$BZ$4,0)),"")</f>
        <v>1</v>
      </c>
      <c r="L9">
        <f>IFERROR(INDEX(REPORT!$A$4:$BZ$100,MATCH($A9,REPORT!$A$4:$A$100,0),MATCH(L$1,REPORT!$A$4:$BZ$4,0)),"")</f>
        <v>0.66666666666666663</v>
      </c>
      <c r="M9">
        <f>IFERROR(INDEX(REPORT!$A$4:$BZ$100,MATCH($A9,REPORT!$A$4:$A$100,0),MATCH(M$1,REPORT!$A$4:$BZ$4,0)),"")</f>
        <v>0.66666666666666663</v>
      </c>
      <c r="N9">
        <f>IFERROR(INDEX(REPORT!$A$4:$BZ$100,MATCH($A9,REPORT!$A$4:$A$100,0),MATCH(N$1,REPORT!$A$4:$BZ$4,0)),"")</f>
        <v>1</v>
      </c>
      <c r="O9">
        <f>IFERROR(INDEX(REPORT!$A$4:$BZ$100,MATCH($A9,REPORT!$A$4:$A$100,0),MATCH(O$1,REPORT!$A$4:$BZ$4,0)),"")</f>
        <v>0.33333333333333331</v>
      </c>
      <c r="P9">
        <f>IFERROR(INDEX(REPORT!$A$4:$BZ$100,MATCH($A9,REPORT!$A$4:$A$100,0),MATCH(P$1,REPORT!$A$4:$BZ$4,0)),"")</f>
        <v>0.33333333333333331</v>
      </c>
      <c r="Q9">
        <f>IFERROR(INDEX(REPORT!$A$4:$BZ$100,MATCH($A9,REPORT!$A$4:$A$100,0),MATCH(Q$1,REPORT!$A$4:$BZ$4,0)),"")</f>
        <v>1</v>
      </c>
      <c r="R9">
        <f>IFERROR(INDEX(REPORT!$A$4:$BZ$100,MATCH($A9,REPORT!$A$4:$A$100,0),MATCH(R$1,REPORT!$A$4:$BZ$4,0)),"")</f>
        <v>0.22222222222222221</v>
      </c>
      <c r="S9">
        <f>IFERROR(INDEX(REPORT!$A$4:$BZ$100,MATCH($A9,REPORT!$A$4:$A$100,0),MATCH(S$1,REPORT!$A$4:$BZ$4,0)),"")</f>
        <v>0</v>
      </c>
      <c r="T9">
        <f>IFERROR(INDEX(REPORT!$A$4:$BZ$100,MATCH($A9,REPORT!$A$4:$A$100,0),MATCH(T$1,REPORT!$A$4:$BZ$4,0)),"")</f>
        <v>0</v>
      </c>
      <c r="U9">
        <f>IFERROR(INDEX(REPORT!$A$4:$BZ$100,MATCH($A9,REPORT!$A$4:$A$100,0),MATCH(U$1,REPORT!$A$4:$BZ$4,0)),"")</f>
        <v>0.66666666666666663</v>
      </c>
      <c r="V9">
        <f>IFERROR(INDEX(REPORT!$A$4:$BZ$100,MATCH($A9,REPORT!$A$4:$A$100,0),MATCH(V$1,REPORT!$A$4:$BZ$4,0)),"")</f>
        <v>0.91666666666666663</v>
      </c>
      <c r="W9">
        <f>IFERROR(INDEX(REPORT!$A$4:$BZ$100,MATCH($A9,REPORT!$A$4:$A$100,0),MATCH(W$1,REPORT!$A$4:$BZ$4,0)),"")</f>
        <v>1</v>
      </c>
      <c r="X9">
        <f>IFERROR(INDEX(REPORT!$A$4:$BZ$100,MATCH($A9,REPORT!$A$4:$A$100,0),MATCH(X$1,REPORT!$A$4:$BZ$4,0)),"")</f>
        <v>1</v>
      </c>
      <c r="Y9">
        <f>IFERROR(INDEX(REPORT!$A$4:$BZ$100,MATCH($A9,REPORT!$A$4:$A$100,0),MATCH(Y$1,REPORT!$A$4:$BZ$4,0)),"")</f>
        <v>0.66666666666666663</v>
      </c>
      <c r="Z9">
        <f>IFERROR(INDEX(REPORT!$A$4:$BZ$100,MATCH($A9,REPORT!$A$4:$A$100,0),MATCH(Z$1,REPORT!$A$4:$BZ$4,0)),"")</f>
        <v>1</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4.5794753086419752E-3</v>
      </c>
      <c r="AF9">
        <f>IFERROR(INDEX(REPORT!$A$4:$BZ$100,MATCH($A9,REPORT!$A$4:$A$100,0),MATCH(AF$1,REPORT!$A$4:$BZ$4,0)),"")</f>
        <v>5.333333333333333</v>
      </c>
      <c r="AG9">
        <f>IFERROR(INDEX(REPORT!$A$4:$BZ$100,MATCH($A9,REPORT!$A$4:$A$100,0),MATCH(AG$1,REPORT!$A$4:$BZ$4,0)),"")</f>
        <v>0.33333333333333331</v>
      </c>
      <c r="AH9">
        <f>IFERROR(INDEX(REPORT!$A$4:$BZ$100,MATCH($A9,REPORT!$A$4:$A$100,0),MATCH(AH$1,REPORT!$A$4:$BZ$4,0)),"")</f>
        <v>0.66666666666666663</v>
      </c>
      <c r="AI9">
        <f>IFERROR(INDEX(REPORT!$A$4:$BZ$100,MATCH($A9,REPORT!$A$4:$A$100,0),MATCH(AI$1,REPORT!$A$4:$BZ$4,0)),"")</f>
        <v>1</v>
      </c>
      <c r="AJ9">
        <f>IFERROR(INDEX(REPORT!$A$4:$BZ$100,MATCH($A9,REPORT!$A$4:$A$100,0),MATCH(AJ$1,REPORT!$A$4:$BZ$4,0)),"")</f>
        <v>0</v>
      </c>
      <c r="AK9">
        <f>IFERROR(INDEX(REPORT!$A$4:$BZ$100,MATCH($A9,REPORT!$A$4:$A$100,0),MATCH(AK$1,REPORT!$A$4:$BZ$4,0)),"")</f>
        <v>5.1350308641975309E-3</v>
      </c>
    </row>
    <row r="10" spans="1:37" x14ac:dyDescent="0.2">
      <c r="A10" t="str">
        <f>IF(LEN(REPORT!A13)&gt;2,REPORT!A13,"")</f>
        <v>AGED CARE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AGED CARE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AGED CARE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AGED CARE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AGED CARE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AGED CARE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AGED CARE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AGED CARE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AGED CARE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AGED CARE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AGED CARE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AGED CARE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AGED CARE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AGED CARE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AGED CARE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AGED CARE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AGED CARE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AGED CARE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AGED CARE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AGED CARE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AGED CARE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AGED CARE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0.60585657596371878</v>
      </c>
      <c r="C32">
        <f>IFERROR(INDEX(REPORT!$A$2:$BZ$100,MATCH($A32,REPORT!$A$2:$A$100,0),MATCH(C$1,REPORT!$A$2:$BZ$2,0)),"")</f>
        <v>0.50972222222222219</v>
      </c>
      <c r="D32">
        <f>IFERROR(INDEX(REPORT!$A$4:$BZ$100,MATCH($A32,REPORT!$A$4:$A$100,0),MATCH(D$1,REPORT!$A$4:$BZ$4,0)),"")</f>
        <v>0.21428571428571427</v>
      </c>
      <c r="E32">
        <f>IFERROR(INDEX(REPORT!$A$4:$BZ$100,MATCH($A32,REPORT!$A$4:$A$100,0),MATCH(E$1,REPORT!$A$4:$BZ$4,0)),"")</f>
        <v>0.7142857142857143</v>
      </c>
      <c r="F32">
        <f>IFERROR(INDEX(REPORT!$A$4:$BZ$100,MATCH($A32,REPORT!$A$4:$A$100,0),MATCH(F$1,REPORT!$A$4:$BZ$4,0)),"")</f>
        <v>0</v>
      </c>
      <c r="G32">
        <f>IFERROR(INDEX(REPORT!$A$4:$BZ$100,MATCH($A32,REPORT!$A$4:$A$100,0),MATCH(G$1,REPORT!$A$4:$BZ$4,0)),"")</f>
        <v>0.14285714285714285</v>
      </c>
      <c r="H32">
        <f>IFERROR(INDEX(REPORT!$A$4:$BZ$100,MATCH($A32,REPORT!$A$4:$A$100,0),MATCH(H$1,REPORT!$A$4:$BZ$4,0)),"")</f>
        <v>0</v>
      </c>
      <c r="I32">
        <f>IFERROR(INDEX(REPORT!$A$4:$BZ$100,MATCH($A32,REPORT!$A$4:$A$100,0),MATCH(I$1,REPORT!$A$4:$BZ$4,0)),"")</f>
        <v>0.58730158730158721</v>
      </c>
      <c r="J32">
        <f>IFERROR(INDEX(REPORT!$A$4:$BZ$100,MATCH($A32,REPORT!$A$4:$A$100,0),MATCH(J$1,REPORT!$A$4:$BZ$4,0)),"")</f>
        <v>9.5238095238095233E-2</v>
      </c>
      <c r="K32">
        <f>IFERROR(INDEX(REPORT!$A$4:$BZ$100,MATCH($A32,REPORT!$A$4:$A$100,0),MATCH(K$1,REPORT!$A$4:$BZ$4,0)),"")</f>
        <v>1</v>
      </c>
      <c r="L32">
        <f>IFERROR(INDEX(REPORT!$A$4:$BZ$100,MATCH($A32,REPORT!$A$4:$A$100,0),MATCH(L$1,REPORT!$A$4:$BZ$4,0)),"")</f>
        <v>0.66666666666666674</v>
      </c>
      <c r="M32">
        <f>IFERROR(INDEX(REPORT!$A$4:$BZ$100,MATCH($A32,REPORT!$A$4:$A$100,0),MATCH(M$1,REPORT!$A$4:$BZ$4,0)),"")</f>
        <v>0.51190476190476186</v>
      </c>
      <c r="N32">
        <f>IFERROR(INDEX(REPORT!$A$4:$BZ$100,MATCH($A32,REPORT!$A$4:$A$100,0),MATCH(N$1,REPORT!$A$4:$BZ$4,0)),"")</f>
        <v>0.7142857142857143</v>
      </c>
      <c r="O32">
        <f>IFERROR(INDEX(REPORT!$A$4:$BZ$100,MATCH($A32,REPORT!$A$4:$A$100,0),MATCH(O$1,REPORT!$A$4:$BZ$4,0)),"")</f>
        <v>4.7619047619047616E-2</v>
      </c>
      <c r="P32">
        <f>IFERROR(INDEX(REPORT!$A$4:$BZ$100,MATCH($A32,REPORT!$A$4:$A$100,0),MATCH(P$1,REPORT!$A$4:$BZ$4,0)),"")</f>
        <v>0.2857142857142857</v>
      </c>
      <c r="Q32">
        <f>IFERROR(INDEX(REPORT!$A$4:$BZ$100,MATCH($A32,REPORT!$A$4:$A$100,0),MATCH(Q$1,REPORT!$A$4:$BZ$4,0)),"")</f>
        <v>1</v>
      </c>
      <c r="R32">
        <f>IFERROR(INDEX(REPORT!$A$4:$BZ$100,MATCH($A32,REPORT!$A$4:$A$100,0),MATCH(R$1,REPORT!$A$4:$BZ$4,0)),"")</f>
        <v>0.38095238095238093</v>
      </c>
      <c r="S32">
        <f>IFERROR(INDEX(REPORT!$A$4:$BZ$100,MATCH($A32,REPORT!$A$4:$A$100,0),MATCH(S$1,REPORT!$A$4:$BZ$4,0)),"")</f>
        <v>9.5238095238095233E-2</v>
      </c>
      <c r="T32">
        <f>IFERROR(INDEX(REPORT!$A$4:$BZ$100,MATCH($A32,REPORT!$A$4:$A$100,0),MATCH(T$1,REPORT!$A$4:$BZ$4,0)),"")</f>
        <v>0.19047619047619047</v>
      </c>
      <c r="U32">
        <f>IFERROR(INDEX(REPORT!$A$4:$BZ$100,MATCH($A32,REPORT!$A$4:$A$100,0),MATCH(U$1,REPORT!$A$4:$BZ$4,0)),"")</f>
        <v>0.8571428571428571</v>
      </c>
      <c r="V32">
        <f>IFERROR(INDEX(REPORT!$A$4:$BZ$100,MATCH($A32,REPORT!$A$4:$A$100,0),MATCH(V$1,REPORT!$A$4:$BZ$4,0)),"")</f>
        <v>0.8214285714285714</v>
      </c>
      <c r="W32">
        <f>IFERROR(INDEX(REPORT!$A$4:$BZ$100,MATCH($A32,REPORT!$A$4:$A$100,0),MATCH(W$1,REPORT!$A$4:$BZ$4,0)),"")</f>
        <v>1</v>
      </c>
      <c r="X32">
        <f>IFERROR(INDEX(REPORT!$A$4:$BZ$100,MATCH($A32,REPORT!$A$4:$A$100,0),MATCH(X$1,REPORT!$A$4:$BZ$4,0)),"")</f>
        <v>0.85714285714285732</v>
      </c>
      <c r="Y32">
        <f>IFERROR(INDEX(REPORT!$A$4:$BZ$100,MATCH($A32,REPORT!$A$4:$A$100,0),MATCH(Y$1,REPORT!$A$4:$BZ$4,0)),"")</f>
        <v>0.80952380952380953</v>
      </c>
      <c r="Z32">
        <f>IFERROR(INDEX(REPORT!$A$4:$BZ$100,MATCH($A32,REPORT!$A$4:$A$100,0),MATCH(Z$1,REPORT!$A$4:$BZ$4,0)),"")</f>
        <v>0.61904761904761896</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2.3589065255731926E-3</v>
      </c>
      <c r="AF32">
        <f>IFERROR(INDEX(REPORT!$A$4:$BZ$100,MATCH($A32,REPORT!$A$4:$A$100,0),MATCH(AF$1,REPORT!$A$4:$BZ$4,0)),"")</f>
        <v>4.7619047619047619</v>
      </c>
      <c r="AG32">
        <f>IFERROR(INDEX(REPORT!$A$4:$BZ$100,MATCH($A32,REPORT!$A$4:$A$100,0),MATCH(AG$1,REPORT!$A$4:$BZ$4,0)),"")</f>
        <v>9.5238095238095233E-2</v>
      </c>
      <c r="AH32">
        <f>IFERROR(INDEX(REPORT!$A$4:$BZ$100,MATCH($A32,REPORT!$A$4:$A$100,0),MATCH(AH$1,REPORT!$A$4:$BZ$4,0)),"")</f>
        <v>0.19047619047619047</v>
      </c>
      <c r="AI32">
        <f>IFERROR(INDEX(REPORT!$A$4:$BZ$100,MATCH($A32,REPORT!$A$4:$A$100,0),MATCH(AI$1,REPORT!$A$4:$BZ$4,0)),"")</f>
        <v>0.8571428571428571</v>
      </c>
      <c r="AJ32">
        <f>IFERROR(INDEX(REPORT!$A$4:$BZ$100,MATCH($A32,REPORT!$A$4:$A$100,0),MATCH(AJ$1,REPORT!$A$4:$BZ$4,0)),"")</f>
        <v>0</v>
      </c>
      <c r="AK32">
        <f>IFERROR(INDEX(REPORT!$A$4:$BZ$100,MATCH($A32,REPORT!$A$4:$A$100,0),MATCH(AK$1,REPORT!$A$4:$BZ$4,0)),"")</f>
        <v>3.862985008818343E-3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J71"/>
  <sheetViews>
    <sheetView tabSelected="1" zoomScale="91" zoomScaleNormal="91" workbookViewId="0">
      <selection activeCell="G75" sqref="G75"/>
    </sheetView>
  </sheetViews>
  <sheetFormatPr baseColWidth="10" defaultColWidth="11.5" defaultRowHeight="16" x14ac:dyDescent="0.2"/>
  <cols>
    <col min="1" max="1" width="37.1640625" bestFit="1" customWidth="1"/>
    <col min="2" max="2" width="12" bestFit="1" customWidth="1"/>
    <col min="3" max="3" width="8.5" customWidth="1"/>
    <col min="4" max="32" width="18.83203125" customWidth="1"/>
    <col min="33" max="33" width="7.5" bestFit="1" customWidth="1"/>
    <col min="34" max="34" width="28" bestFit="1" customWidth="1"/>
  </cols>
  <sheetData>
    <row r="1" spans="1:36" ht="26" x14ac:dyDescent="0.2">
      <c r="A1" s="185" t="s">
        <v>112</v>
      </c>
      <c r="B1" s="186"/>
      <c r="C1" s="187" t="s">
        <v>0</v>
      </c>
      <c r="D1" s="188" t="s">
        <v>115</v>
      </c>
      <c r="E1" s="188" t="s">
        <v>86</v>
      </c>
      <c r="F1" s="188" t="s">
        <v>87</v>
      </c>
      <c r="G1" s="188" t="s">
        <v>114</v>
      </c>
      <c r="H1" s="188" t="s">
        <v>116</v>
      </c>
      <c r="I1" s="188" t="s">
        <v>118</v>
      </c>
      <c r="J1" s="188" t="s">
        <v>113</v>
      </c>
      <c r="K1" s="188" t="s">
        <v>88</v>
      </c>
      <c r="L1" s="188" t="s">
        <v>89</v>
      </c>
      <c r="M1" s="188" t="s">
        <v>90</v>
      </c>
      <c r="N1" s="188" t="s">
        <v>91</v>
      </c>
      <c r="O1" s="188" t="s">
        <v>92</v>
      </c>
      <c r="P1" s="188" t="s">
        <v>93</v>
      </c>
      <c r="Q1" s="188" t="s">
        <v>94</v>
      </c>
      <c r="R1" s="188" t="s">
        <v>95</v>
      </c>
      <c r="S1" s="188" t="s">
        <v>96</v>
      </c>
      <c r="T1" s="188" t="s">
        <v>97</v>
      </c>
      <c r="U1" s="188" t="s">
        <v>98</v>
      </c>
      <c r="V1" s="188" t="s">
        <v>99</v>
      </c>
      <c r="W1" s="188" t="s">
        <v>100</v>
      </c>
      <c r="X1" s="188" t="s">
        <v>101</v>
      </c>
      <c r="Y1" s="188" t="s">
        <v>102</v>
      </c>
      <c r="Z1" s="188" t="s">
        <v>103</v>
      </c>
      <c r="AA1" s="188" t="s">
        <v>104</v>
      </c>
      <c r="AB1" s="188" t="s">
        <v>105</v>
      </c>
      <c r="AC1" s="188" t="s">
        <v>106</v>
      </c>
      <c r="AD1" s="188" t="s">
        <v>107</v>
      </c>
      <c r="AE1" s="188" t="s">
        <v>108</v>
      </c>
      <c r="AF1" s="188" t="s">
        <v>109</v>
      </c>
    </row>
    <row r="2" spans="1:36" ht="27" thickBot="1" x14ac:dyDescent="0.25">
      <c r="A2" s="189" t="str">
        <f>REPORT!A2</f>
        <v>AGED CARE</v>
      </c>
      <c r="B2" s="190" t="s">
        <v>57</v>
      </c>
      <c r="C2" s="35">
        <f>SUM(D2:K2)</f>
        <v>21</v>
      </c>
      <c r="D2" s="191">
        <f>COUNTA(BENETAS!D2:F2)</f>
        <v>3</v>
      </c>
      <c r="E2" s="191">
        <f>COUNTA('BLUE CARE'!D2:F2)</f>
        <v>3</v>
      </c>
      <c r="F2" s="191">
        <f>COUNTA('BOLTON CLARKE'!D2:F2)</f>
        <v>3</v>
      </c>
      <c r="G2" s="191">
        <f>COUNTA(HAMMONDCARE!D2:F2)</f>
        <v>3</v>
      </c>
      <c r="H2" s="191">
        <f>COUNTA('SILVER CHAIN'!D2:F2)</f>
        <v>3</v>
      </c>
      <c r="I2" s="191">
        <f>COUNTA('UNITING AGE WELL'!D2:F2)</f>
        <v>3</v>
      </c>
      <c r="J2" s="191">
        <f>COUNTA('UNITING NSW-ACT'!D2:F2)</f>
        <v>3</v>
      </c>
      <c r="K2" s="191"/>
      <c r="L2" s="191"/>
      <c r="M2" s="191"/>
      <c r="N2" s="191"/>
      <c r="O2" s="191"/>
      <c r="P2" s="191"/>
      <c r="Q2" s="191"/>
      <c r="R2" s="191"/>
      <c r="S2" s="191"/>
      <c r="T2" s="191"/>
      <c r="U2" s="191"/>
      <c r="V2" s="191"/>
      <c r="W2" s="191"/>
      <c r="X2" s="191"/>
      <c r="Y2" s="191"/>
      <c r="Z2" s="191"/>
      <c r="AA2" s="191"/>
      <c r="AB2" s="191"/>
      <c r="AC2" s="191"/>
      <c r="AD2" s="191"/>
      <c r="AE2" s="191"/>
      <c r="AF2" s="191"/>
    </row>
    <row r="3" spans="1:36" ht="27" thickBot="1" x14ac:dyDescent="0.35">
      <c r="A3" s="292" t="s">
        <v>84</v>
      </c>
      <c r="B3" s="289">
        <f>IF($C$2=0,"-",B48)</f>
        <v>0.60585657596371878</v>
      </c>
      <c r="C3" s="290"/>
      <c r="D3" s="291">
        <f t="shared" ref="D3:E3" si="0">IF(D51="-","-",D48)</f>
        <v>0.52286507936507931</v>
      </c>
      <c r="E3" s="291">
        <f t="shared" si="0"/>
        <v>0.61345039682539682</v>
      </c>
      <c r="F3" s="291">
        <f t="shared" ref="F3:J3" si="1">IF(F51="-","-",F48)</f>
        <v>0.56544444444444442</v>
      </c>
      <c r="G3" s="291">
        <f t="shared" si="1"/>
        <v>0.64930555555555558</v>
      </c>
      <c r="H3" s="291">
        <f t="shared" si="1"/>
        <v>0.66270833333333323</v>
      </c>
      <c r="I3" s="291">
        <f t="shared" si="1"/>
        <v>0.55326388888888889</v>
      </c>
      <c r="J3" s="291">
        <f t="shared" si="1"/>
        <v>0.67395833333333344</v>
      </c>
      <c r="K3" s="192"/>
      <c r="L3" s="192"/>
      <c r="M3" s="192"/>
      <c r="N3" s="192"/>
      <c r="O3" s="192"/>
      <c r="P3" s="192"/>
      <c r="Q3" s="192"/>
      <c r="R3" s="192"/>
      <c r="S3" s="192"/>
      <c r="T3" s="192"/>
      <c r="U3" s="192"/>
      <c r="V3" s="192"/>
      <c r="W3" s="192"/>
      <c r="X3" s="192"/>
      <c r="Y3" s="192"/>
      <c r="Z3" s="192"/>
      <c r="AA3" s="192"/>
      <c r="AB3" s="192"/>
      <c r="AC3" s="192"/>
      <c r="AD3" s="192"/>
      <c r="AE3" s="192"/>
      <c r="AF3" s="193"/>
    </row>
    <row r="4" spans="1:36" ht="32" customHeight="1" x14ac:dyDescent="0.25">
      <c r="A4" s="194" t="s">
        <v>111</v>
      </c>
      <c r="B4" s="38">
        <f>IF(C2=0,"-",AVERAGE(D4:K4))</f>
        <v>0.50972222222222219</v>
      </c>
      <c r="C4" s="195" t="s">
        <v>1</v>
      </c>
      <c r="D4" s="196">
        <f>IF(D2=0, "-", IF(BENETAS!$B$4="-", "-", BENETAS!$B$4))</f>
        <v>0.46388888888888885</v>
      </c>
      <c r="E4" s="196">
        <f>IF(E2=0, "-", IF('BLUE CARE'!$B$4="-", "-", 'BLUE CARE'!$B$4))</f>
        <v>0.55694444444444446</v>
      </c>
      <c r="F4" s="196">
        <f>IF(F2=0, "-", IF('BOLTON CLARKE'!$B$4="-", "-", 'BOLTON CLARKE'!$B$4))</f>
        <v>0.44861111111111113</v>
      </c>
      <c r="G4" s="196">
        <f>IF(G2=0, "-", IF(HAMMONDCARE!$B$4="-", "-", HAMMONDCARE!$B$4))</f>
        <v>0.59722222222222221</v>
      </c>
      <c r="H4" s="196">
        <f>IF(H2=0, "-", IF('SILVER CHAIN'!$B$4="-", "-", 'SILVER CHAIN'!$B$4))</f>
        <v>0.54166666666666663</v>
      </c>
      <c r="I4" s="196">
        <f>IF(I2=0, "-", IF('UNITING AGE WELL'!$B$4="-", "-", 'UNITING AGE WELL'!$B$4))</f>
        <v>0.39305555555555555</v>
      </c>
      <c r="J4" s="196">
        <f>IF(J2=0, "-", IF('UNITING NSW-ACT'!$B$4="-", "-", 'UNITING NSW-ACT'!$B$4))</f>
        <v>0.56666666666666676</v>
      </c>
      <c r="K4" s="196"/>
      <c r="L4" s="196"/>
      <c r="M4" s="196"/>
      <c r="N4" s="196"/>
      <c r="O4" s="196"/>
      <c r="P4" s="196"/>
      <c r="Q4" s="196"/>
      <c r="R4" s="196"/>
      <c r="S4" s="196"/>
      <c r="T4" s="196"/>
      <c r="U4" s="196"/>
      <c r="V4" s="196"/>
      <c r="W4" s="196"/>
      <c r="X4" s="196"/>
      <c r="Y4" s="196"/>
      <c r="Z4" s="196"/>
      <c r="AA4" s="196"/>
      <c r="AB4" s="196"/>
      <c r="AC4" s="196"/>
      <c r="AD4" s="196"/>
      <c r="AE4" s="196"/>
      <c r="AF4" s="196"/>
      <c r="AH4" s="12" t="s">
        <v>8</v>
      </c>
    </row>
    <row r="5" spans="1:36" ht="18" customHeight="1" x14ac:dyDescent="0.25">
      <c r="A5" s="197" t="s">
        <v>43</v>
      </c>
      <c r="B5" s="198">
        <f>IF($C$2=0,"-",AVERAGE(D5:K5))</f>
        <v>0.50972222222222219</v>
      </c>
      <c r="C5" s="199" t="s">
        <v>44</v>
      </c>
      <c r="D5" s="200">
        <f>BENETAS!$B5</f>
        <v>0.46388888888888885</v>
      </c>
      <c r="E5" s="200">
        <f>'BLUE CARE'!$B5</f>
        <v>0.55694444444444446</v>
      </c>
      <c r="F5" s="200">
        <f>'BOLTON CLARKE'!$B5</f>
        <v>0.44861111111111113</v>
      </c>
      <c r="G5" s="200">
        <f>HAMMONDCARE!$B5</f>
        <v>0.59722222222222221</v>
      </c>
      <c r="H5" s="200">
        <f>'SILVER CHAIN'!$B5</f>
        <v>0.54166666666666663</v>
      </c>
      <c r="I5" s="200">
        <f>'UNITING AGE WELL'!$B5</f>
        <v>0.39305555555555555</v>
      </c>
      <c r="J5" s="200">
        <f>'UNITING NSW-ACT'!$B5</f>
        <v>0.56666666666666676</v>
      </c>
      <c r="K5" s="200"/>
      <c r="L5" s="200"/>
      <c r="M5" s="200"/>
      <c r="N5" s="200"/>
      <c r="O5" s="200"/>
      <c r="P5" s="200"/>
      <c r="Q5" s="200"/>
      <c r="R5" s="200"/>
      <c r="S5" s="200"/>
      <c r="T5" s="200"/>
      <c r="U5" s="200"/>
      <c r="V5" s="200"/>
      <c r="W5" s="200"/>
      <c r="X5" s="200"/>
      <c r="Y5" s="200"/>
      <c r="Z5" s="200"/>
      <c r="AA5" s="200"/>
      <c r="AB5" s="200"/>
      <c r="AC5" s="200"/>
      <c r="AD5" s="200"/>
      <c r="AE5" s="200"/>
      <c r="AF5" s="200"/>
      <c r="AH5" s="7" t="s">
        <v>16</v>
      </c>
    </row>
    <row r="6" spans="1:36" ht="18" customHeight="1" x14ac:dyDescent="0.2">
      <c r="A6" s="20" t="s">
        <v>9</v>
      </c>
      <c r="B6" s="37">
        <f>IF($C$2=0,"-",AVERAGE(D6:K6))</f>
        <v>0.21428571428571427</v>
      </c>
      <c r="C6" s="1">
        <f>AI24</f>
        <v>0.2</v>
      </c>
      <c r="D6" s="201">
        <f>IF(D$39=0%,"-",IF(D$2=0,"-",BENETAS!$B6))</f>
        <v>0.16666666666666666</v>
      </c>
      <c r="E6" s="201">
        <f>IF(E$39=0%,"-",IF(E$2=0,"-",'BLUE CARE'!$B6))</f>
        <v>0.25</v>
      </c>
      <c r="F6" s="201">
        <f>IF(F$39=0%,"-",IF(F$2=0,"-",'BOLTON CLARKE'!$B6))</f>
        <v>0.25</v>
      </c>
      <c r="G6" s="201">
        <f>IF(G$39=0%,"-",IF(G$2=0,"-",HAMMONDCARE!$B6))</f>
        <v>0.33333333333333331</v>
      </c>
      <c r="H6" s="201">
        <f>IF(H$39=0%,"-",IF(H$2=0,"-",'SILVER CHAIN'!$B6))</f>
        <v>0.16666666666666666</v>
      </c>
      <c r="I6" s="201">
        <f>IF(I$39=0%,"-",IF(I$2=0,"-",'UNITING AGE WELL'!$B6))</f>
        <v>8.3333333333333329E-2</v>
      </c>
      <c r="J6" s="201">
        <f>IF(J$39=0%,"-",IF(J$2=0,"-",'UNITING NSW-ACT'!$B6))</f>
        <v>0.25</v>
      </c>
      <c r="K6" s="201"/>
      <c r="L6" s="201"/>
      <c r="M6" s="201"/>
      <c r="N6" s="201"/>
      <c r="O6" s="201"/>
      <c r="P6" s="201"/>
      <c r="Q6" s="201"/>
      <c r="R6" s="201"/>
      <c r="S6" s="201"/>
      <c r="T6" s="201"/>
      <c r="U6" s="201"/>
      <c r="V6" s="201"/>
      <c r="W6" s="201"/>
      <c r="X6" s="201"/>
      <c r="Y6" s="201"/>
      <c r="Z6" s="201"/>
      <c r="AA6" s="201"/>
      <c r="AB6" s="201"/>
      <c r="AC6" s="201"/>
      <c r="AD6" s="201"/>
      <c r="AE6" s="201"/>
      <c r="AF6" s="201"/>
      <c r="AJ6" t="s">
        <v>1</v>
      </c>
    </row>
    <row r="7" spans="1:36" ht="18" customHeight="1" x14ac:dyDescent="0.2">
      <c r="A7" s="86" t="str">
        <f>REPORT!E4</f>
        <v>WELCOME</v>
      </c>
      <c r="B7" s="3">
        <f>IF($C$2=0,"-",AVERAGE(D7:K7))</f>
        <v>0.7142857142857143</v>
      </c>
      <c r="C7" s="202" t="s">
        <v>1</v>
      </c>
      <c r="D7" s="203">
        <f>IF(D$39=0%,"-",IF(D$2=0,"-",BENETAS!$B7))</f>
        <v>0</v>
      </c>
      <c r="E7" s="203">
        <f>IF(E$39=0%,"-",IF(E$2=0,"-",'BLUE CARE'!$B7))</f>
        <v>1</v>
      </c>
      <c r="F7" s="203">
        <f>IF(F$39=0%,"-",IF(F$2=0,"-",'BOLTON CLARKE'!$B7))</f>
        <v>1</v>
      </c>
      <c r="G7" s="203">
        <f>IF(G$39=0%,"-",IF(G$2=0,"-",HAMMONDCARE!$B7))</f>
        <v>1</v>
      </c>
      <c r="H7" s="203">
        <f>IF(H$39=0%,"-",IF(H$2=0,"-",'SILVER CHAIN'!$B7))</f>
        <v>0.66666666666666663</v>
      </c>
      <c r="I7" s="203">
        <f>IF(I$39=0%,"-",IF(I$2=0,"-",'UNITING AGE WELL'!$B7))</f>
        <v>0.33333333333333331</v>
      </c>
      <c r="J7" s="203">
        <f>IF(J$39=0%,"-",IF(J$2=0,"-",'UNITING NSW-ACT'!$B7))</f>
        <v>1</v>
      </c>
      <c r="K7" s="203"/>
      <c r="L7" s="203"/>
      <c r="M7" s="203"/>
      <c r="N7" s="203"/>
      <c r="O7" s="203"/>
      <c r="P7" s="203"/>
      <c r="Q7" s="203"/>
      <c r="R7" s="203"/>
      <c r="S7" s="203"/>
      <c r="T7" s="203"/>
      <c r="U7" s="203"/>
      <c r="V7" s="203"/>
      <c r="W7" s="203"/>
      <c r="X7" s="203"/>
      <c r="Y7" s="203"/>
      <c r="Z7" s="203"/>
      <c r="AA7" s="203"/>
      <c r="AB7" s="203"/>
      <c r="AC7" s="203"/>
      <c r="AD7" s="203"/>
      <c r="AE7" s="203"/>
      <c r="AF7" s="203"/>
      <c r="AH7" s="11" t="s">
        <v>2</v>
      </c>
    </row>
    <row r="8" spans="1:36" ht="18" customHeight="1" x14ac:dyDescent="0.25">
      <c r="A8" s="86" t="str">
        <f>REPORT!F4</f>
        <v>INTENT</v>
      </c>
      <c r="B8" s="3">
        <f>IF($C$2=0,"-",AVERAGE(D8:K8))</f>
        <v>0</v>
      </c>
      <c r="C8" s="202" t="s">
        <v>1</v>
      </c>
      <c r="D8" s="204">
        <f>IF(D$39=0%,"-",IF(D$2=0,"-",BENETAS!$B8))</f>
        <v>0</v>
      </c>
      <c r="E8" s="204">
        <f>IF(E$39=0%,"-",IF(E$2=0,"-",'BLUE CARE'!$B8))</f>
        <v>0</v>
      </c>
      <c r="F8" s="204">
        <f>IF(F$39=0%,"-",IF(F$2=0,"-",'BOLTON CLARKE'!$B8))</f>
        <v>0</v>
      </c>
      <c r="G8" s="204">
        <f>IF(G$39=0%,"-",IF(G$2=0,"-",HAMMONDCARE!$B8))</f>
        <v>0</v>
      </c>
      <c r="H8" s="204">
        <f>IF(H$39=0%,"-",IF(H$2=0,"-",'SILVER CHAIN'!$B8))</f>
        <v>0</v>
      </c>
      <c r="I8" s="204">
        <f>IF(I$39=0%,"-",IF(I$2=0,"-",'UNITING AGE WELL'!$B8))</f>
        <v>0</v>
      </c>
      <c r="J8" s="204">
        <f>IF(J$39=0%,"-",IF(J$2=0,"-",'UNITING NSW-ACT'!$B8))</f>
        <v>0</v>
      </c>
      <c r="K8" s="204"/>
      <c r="L8" s="204"/>
      <c r="M8" s="204"/>
      <c r="N8" s="204"/>
      <c r="O8" s="204"/>
      <c r="P8" s="204"/>
      <c r="Q8" s="204"/>
      <c r="R8" s="204"/>
      <c r="S8" s="204"/>
      <c r="T8" s="204"/>
      <c r="U8" s="204"/>
      <c r="V8" s="204"/>
      <c r="W8" s="204"/>
      <c r="X8" s="204"/>
      <c r="Y8" s="204"/>
      <c r="Z8" s="204"/>
      <c r="AA8" s="204"/>
      <c r="AB8" s="204"/>
      <c r="AC8" s="204"/>
      <c r="AD8" s="204"/>
      <c r="AE8" s="204"/>
      <c r="AF8" s="204"/>
      <c r="AH8" s="7" t="s">
        <v>15</v>
      </c>
    </row>
    <row r="9" spans="1:36" ht="18" customHeight="1" x14ac:dyDescent="0.2">
      <c r="A9" s="86" t="str">
        <f>REPORT!G4</f>
        <v>NAME</v>
      </c>
      <c r="B9" s="3">
        <f>IF($C$2=0,"-",AVERAGE(D9:K9))</f>
        <v>0.14285714285714285</v>
      </c>
      <c r="C9" s="202" t="s">
        <v>1</v>
      </c>
      <c r="D9" s="203">
        <f>IF(D$39=0%,"-",IF(D$2=0,"-",BENETAS!$B9))</f>
        <v>0.66666666666666663</v>
      </c>
      <c r="E9" s="203">
        <f>IF(E$39=0%,"-",IF(E$2=0,"-",'BLUE CARE'!$B9))</f>
        <v>0</v>
      </c>
      <c r="F9" s="203">
        <f>IF(F$39=0%,"-",IF(F$2=0,"-",'BOLTON CLARKE'!$B9))</f>
        <v>0</v>
      </c>
      <c r="G9" s="203">
        <f>IF(G$39=0%,"-",IF(G$2=0,"-",HAMMONDCARE!$B9))</f>
        <v>0.33333333333333331</v>
      </c>
      <c r="H9" s="203">
        <f>IF(H$39=0%,"-",IF(H$2=0,"-",'SILVER CHAIN'!$B9))</f>
        <v>0</v>
      </c>
      <c r="I9" s="203">
        <f>IF(I$39=0%,"-",IF(I$2=0,"-",'UNITING AGE WELL'!$B9))</f>
        <v>0</v>
      </c>
      <c r="J9" s="203">
        <f>IF(J$39=0%,"-",IF(J$2=0,"-",'UNITING NSW-ACT'!$B9))</f>
        <v>0</v>
      </c>
      <c r="K9" s="283" t="s">
        <v>1</v>
      </c>
      <c r="L9" s="203"/>
      <c r="M9" s="203"/>
      <c r="N9" s="203"/>
      <c r="O9" s="203"/>
      <c r="P9" s="203"/>
      <c r="Q9" s="203"/>
      <c r="R9" s="203"/>
      <c r="S9" s="203"/>
      <c r="T9" s="203"/>
      <c r="U9" s="203"/>
      <c r="V9" s="203"/>
      <c r="W9" s="203"/>
      <c r="X9" s="203"/>
      <c r="Y9" s="203"/>
      <c r="Z9" s="203"/>
      <c r="AA9" s="203"/>
      <c r="AB9" s="203"/>
      <c r="AC9" s="203"/>
      <c r="AD9" s="203"/>
      <c r="AE9" s="203"/>
      <c r="AF9" s="203"/>
      <c r="AH9" t="s">
        <v>1</v>
      </c>
    </row>
    <row r="10" spans="1:36" ht="18" customHeight="1" x14ac:dyDescent="0.2">
      <c r="A10" s="86" t="str">
        <f>REPORT!H4</f>
        <v>BRIDGE</v>
      </c>
      <c r="B10" s="3">
        <f>IF($C$2=0,"-",AVERAGE(D10:K10))</f>
        <v>0</v>
      </c>
      <c r="C10" s="202" t="s">
        <v>1</v>
      </c>
      <c r="D10" s="204">
        <f>IF(D$39=0%,"-",IF(D$2=0,"-",BENETAS!$B10))</f>
        <v>0</v>
      </c>
      <c r="E10" s="204">
        <f>IF(E$39=0%,"-",IF(E$2=0,"-",'BLUE CARE'!$B10))</f>
        <v>0</v>
      </c>
      <c r="F10" s="204">
        <f>IF(F$39=0%,"-",IF(F$2=0,"-",'BOLTON CLARKE'!$B10))</f>
        <v>0</v>
      </c>
      <c r="G10" s="204">
        <f>IF(G$39=0%,"-",IF(G$2=0,"-",HAMMONDCARE!$B10))</f>
        <v>0</v>
      </c>
      <c r="H10" s="204">
        <f>IF(H$39=0%,"-",IF(H$2=0,"-",'SILVER CHAIN'!$B10))</f>
        <v>0</v>
      </c>
      <c r="I10" s="204">
        <f>IF(I$39=0%,"-",IF(I$2=0,"-",'UNITING AGE WELL'!$B10))</f>
        <v>0</v>
      </c>
      <c r="J10" s="204">
        <f>IF(J$39=0%,"-",IF(J$2=0,"-",'UNITING NSW-ACT'!$B10))</f>
        <v>0</v>
      </c>
      <c r="K10" s="204"/>
      <c r="L10" s="204"/>
      <c r="M10" s="204"/>
      <c r="N10" s="204"/>
      <c r="O10" s="204"/>
      <c r="P10" s="204"/>
      <c r="Q10" s="204"/>
      <c r="R10" s="204"/>
      <c r="S10" s="204"/>
      <c r="T10" s="204"/>
      <c r="U10" s="204"/>
      <c r="V10" s="204"/>
      <c r="W10" s="204"/>
      <c r="X10" s="204"/>
      <c r="Y10" s="204"/>
      <c r="Z10" s="204"/>
      <c r="AA10" s="204"/>
      <c r="AB10" s="204"/>
      <c r="AC10" s="204"/>
      <c r="AD10" s="204"/>
      <c r="AE10" s="204"/>
      <c r="AF10" s="204"/>
      <c r="AH10" s="13" t="s">
        <v>3</v>
      </c>
    </row>
    <row r="11" spans="1:36" ht="18" customHeight="1" x14ac:dyDescent="0.25">
      <c r="A11" s="2"/>
      <c r="B11" s="39" t="s">
        <v>1</v>
      </c>
      <c r="C11" s="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H11" s="8" t="s">
        <v>14</v>
      </c>
    </row>
    <row r="12" spans="1:36" ht="18" customHeight="1" x14ac:dyDescent="0.2">
      <c r="A12" s="20" t="s">
        <v>10</v>
      </c>
      <c r="B12" s="37">
        <f>IF($C$2=0,"-",AVERAGE(D12:K12))</f>
        <v>0.58730158730158721</v>
      </c>
      <c r="C12" s="1">
        <f>AI25</f>
        <v>0.2</v>
      </c>
      <c r="D12" s="206">
        <f>IF(D$39=0%,"-",IF(D$2=0,"-",BENETAS!$B12))</f>
        <v>0.44444444444444442</v>
      </c>
      <c r="E12" s="206">
        <f>IF(E$39=0%,"-",IF(E$2=0,"-",'BLUE CARE'!$B12))</f>
        <v>0.55555555555555547</v>
      </c>
      <c r="F12" s="206">
        <f>IF(F$39=0%,"-",IF(F$2=0,"-",'BOLTON CLARKE'!$B12))</f>
        <v>0.55555555555555547</v>
      </c>
      <c r="G12" s="206">
        <f>IF(G$39=0%,"-",IF(G$2=0,"-",HAMMONDCARE!$B12))</f>
        <v>0.77777777777777768</v>
      </c>
      <c r="H12" s="206">
        <f>IF(H$39=0%,"-",IF(H$2=0,"-",'SILVER CHAIN'!$B12))</f>
        <v>0.66666666666666663</v>
      </c>
      <c r="I12" s="206">
        <f>IF(I$39=0%,"-",IF(I$2=0,"-",'UNITING AGE WELL'!$B12))</f>
        <v>0.44444444444444442</v>
      </c>
      <c r="J12" s="206">
        <f>IF(J$39=0%,"-",IF(J$2=0,"-",'UNITING NSW-ACT'!$B12))</f>
        <v>0.66666666666666663</v>
      </c>
      <c r="K12" s="206"/>
      <c r="L12" s="206"/>
      <c r="M12" s="206"/>
      <c r="N12" s="206"/>
      <c r="O12" s="206"/>
      <c r="P12" s="206"/>
      <c r="Q12" s="206"/>
      <c r="R12" s="206"/>
      <c r="S12" s="206"/>
      <c r="T12" s="206"/>
      <c r="U12" s="206"/>
      <c r="V12" s="206"/>
      <c r="W12" s="206"/>
      <c r="X12" s="206"/>
      <c r="Y12" s="206"/>
      <c r="Z12" s="206"/>
      <c r="AA12" s="206"/>
      <c r="AB12" s="206"/>
      <c r="AC12" s="206"/>
      <c r="AD12" s="206"/>
      <c r="AE12" s="206"/>
      <c r="AF12" s="206"/>
      <c r="AH12" t="s">
        <v>1</v>
      </c>
    </row>
    <row r="13" spans="1:36" ht="18" customHeight="1" x14ac:dyDescent="0.2">
      <c r="A13" s="86" t="str">
        <f>REPORT!J4</f>
        <v>CONVERSE</v>
      </c>
      <c r="B13" s="3">
        <f>IF($C$2=0,"-",AVERAGE(D13:K13))</f>
        <v>9.5238095238095233E-2</v>
      </c>
      <c r="C13" s="202" t="s">
        <v>1</v>
      </c>
      <c r="D13" s="203">
        <f>IF(D$39=0%,"-",IF(D$2=0,"-",BENETAS!$B13))</f>
        <v>0</v>
      </c>
      <c r="E13" s="203">
        <f>IF(E$39=0%,"-",IF(E$2=0,"-",'BLUE CARE'!$B13))</f>
        <v>0</v>
      </c>
      <c r="F13" s="203">
        <f>IF(F$39=0%,"-",IF(F$2=0,"-",'BOLTON CLARKE'!$B13))</f>
        <v>0</v>
      </c>
      <c r="G13" s="203">
        <f>IF(G$39=0%,"-",IF(G$2=0,"-",HAMMONDCARE!$B13))</f>
        <v>0.33333333333333331</v>
      </c>
      <c r="H13" s="203">
        <f>IF(H$39=0%,"-",IF(H$2=0,"-",'SILVER CHAIN'!$B13))</f>
        <v>0</v>
      </c>
      <c r="I13" s="203">
        <f>IF(I$39=0%,"-",IF(I$2=0,"-",'UNITING AGE WELL'!$B13))</f>
        <v>0</v>
      </c>
      <c r="J13" s="203">
        <f>IF(J$39=0%,"-",IF(J$2=0,"-",'UNITING NSW-ACT'!$B13))</f>
        <v>0.33333333333333331</v>
      </c>
      <c r="K13" s="203"/>
      <c r="L13" s="203"/>
      <c r="M13" s="203"/>
      <c r="N13" s="203"/>
      <c r="O13" s="203"/>
      <c r="P13" s="203"/>
      <c r="Q13" s="203"/>
      <c r="R13" s="203"/>
      <c r="S13" s="203"/>
      <c r="T13" s="203"/>
      <c r="U13" s="203"/>
      <c r="V13" s="203"/>
      <c r="W13" s="203"/>
      <c r="X13" s="203"/>
      <c r="Y13" s="203"/>
      <c r="Z13" s="203"/>
      <c r="AA13" s="203"/>
      <c r="AB13" s="203"/>
      <c r="AC13" s="203"/>
      <c r="AD13" s="203"/>
      <c r="AE13" s="203"/>
      <c r="AF13" s="203"/>
      <c r="AH13" s="14" t="s">
        <v>4</v>
      </c>
    </row>
    <row r="14" spans="1:36" ht="18" customHeight="1" x14ac:dyDescent="0.25">
      <c r="A14" s="86" t="str">
        <f>REPORT!K4</f>
        <v>LISTEN</v>
      </c>
      <c r="B14" s="3">
        <f>IF($C$2=0,"-",AVERAGE(D14:K14))</f>
        <v>1</v>
      </c>
      <c r="C14" s="202" t="s">
        <v>1</v>
      </c>
      <c r="D14" s="204">
        <f>IF(D$39=0%,"-",IF(D$2=0,"-",BENETAS!$B14))</f>
        <v>1</v>
      </c>
      <c r="E14" s="204">
        <f>IF(E$39=0%,"-",IF(E$2=0,"-",'BLUE CARE'!$B14))</f>
        <v>1</v>
      </c>
      <c r="F14" s="204">
        <f>IF(F$39=0%,"-",IF(F$2=0,"-",'BOLTON CLARKE'!$B14))</f>
        <v>1</v>
      </c>
      <c r="G14" s="204">
        <f>IF(G$39=0%,"-",IF(G$2=0,"-",HAMMONDCARE!$B14))</f>
        <v>1</v>
      </c>
      <c r="H14" s="204">
        <f>IF(H$39=0%,"-",IF(H$2=0,"-",'SILVER CHAIN'!$B14))</f>
        <v>1</v>
      </c>
      <c r="I14" s="204">
        <f>IF(I$39=0%,"-",IF(I$2=0,"-",'UNITING AGE WELL'!$B14))</f>
        <v>1</v>
      </c>
      <c r="J14" s="204">
        <f>IF(J$39=0%,"-",IF(J$2=0,"-",'UNITING NSW-ACT'!$B14))</f>
        <v>1</v>
      </c>
      <c r="K14" s="204"/>
      <c r="L14" s="204"/>
      <c r="M14" s="204"/>
      <c r="N14" s="204"/>
      <c r="O14" s="204"/>
      <c r="P14" s="204"/>
      <c r="Q14" s="204"/>
      <c r="R14" s="204"/>
      <c r="S14" s="204"/>
      <c r="T14" s="204"/>
      <c r="U14" s="204"/>
      <c r="V14" s="204"/>
      <c r="W14" s="204"/>
      <c r="X14" s="204"/>
      <c r="Y14" s="204"/>
      <c r="Z14" s="204"/>
      <c r="AA14" s="204"/>
      <c r="AB14" s="204"/>
      <c r="AC14" s="204"/>
      <c r="AD14" s="204"/>
      <c r="AE14" s="204"/>
      <c r="AF14" s="204"/>
      <c r="AH14" s="9" t="s">
        <v>13</v>
      </c>
    </row>
    <row r="15" spans="1:36" ht="18" customHeight="1" x14ac:dyDescent="0.2">
      <c r="A15" s="86" t="str">
        <f>REPORT!L4</f>
        <v>CONFIRM</v>
      </c>
      <c r="B15" s="3">
        <f>IF($C$2=0,"-",AVERAGE(D15:K15))</f>
        <v>0.66666666666666674</v>
      </c>
      <c r="C15" s="202" t="s">
        <v>1</v>
      </c>
      <c r="D15" s="203">
        <f>IF(D$39=0%,"-",IF(D$2=0,"-",BENETAS!$B15))</f>
        <v>0.33333333333333331</v>
      </c>
      <c r="E15" s="203">
        <f>IF(E$39=0%,"-",IF(E$2=0,"-",'BLUE CARE'!$B15))</f>
        <v>0.66666666666666663</v>
      </c>
      <c r="F15" s="203">
        <f>IF(F$39=0%,"-",IF(F$2=0,"-",'BOLTON CLARKE'!$B15))</f>
        <v>0.66666666666666663</v>
      </c>
      <c r="G15" s="203">
        <f>IF(G$39=0%,"-",IF(G$2=0,"-",HAMMONDCARE!$B15))</f>
        <v>1</v>
      </c>
      <c r="H15" s="203">
        <f>IF(H$39=0%,"-",IF(H$2=0,"-",'SILVER CHAIN'!$B15))</f>
        <v>1</v>
      </c>
      <c r="I15" s="203">
        <f>IF(I$39=0%,"-",IF(I$2=0,"-",'UNITING AGE WELL'!$B15))</f>
        <v>0.33333333333333331</v>
      </c>
      <c r="J15" s="203">
        <f>IF(J$39=0%,"-",IF(J$2=0,"-",'UNITING NSW-ACT'!$B15))</f>
        <v>0.66666666666666663</v>
      </c>
      <c r="K15" s="203"/>
      <c r="L15" s="203"/>
      <c r="M15" s="203"/>
      <c r="N15" s="203"/>
      <c r="O15" s="203"/>
      <c r="P15" s="203"/>
      <c r="Q15" s="203"/>
      <c r="R15" s="203"/>
      <c r="S15" s="203"/>
      <c r="T15" s="203"/>
      <c r="U15" s="203"/>
      <c r="V15" s="203"/>
      <c r="W15" s="203"/>
      <c r="X15" s="203"/>
      <c r="Y15" s="203"/>
      <c r="Z15" s="203"/>
      <c r="AA15" s="203"/>
      <c r="AB15" s="203"/>
      <c r="AC15" s="203"/>
      <c r="AD15" s="203"/>
      <c r="AE15" s="203"/>
      <c r="AF15" s="203"/>
      <c r="AG15" t="s">
        <v>1</v>
      </c>
    </row>
    <row r="16" spans="1:36" ht="18" customHeight="1" x14ac:dyDescent="0.2">
      <c r="A16" s="2"/>
      <c r="C16" s="4"/>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H16" s="15" t="s">
        <v>7</v>
      </c>
    </row>
    <row r="17" spans="1:35" ht="18" customHeight="1" x14ac:dyDescent="0.25">
      <c r="A17" s="20" t="s">
        <v>11</v>
      </c>
      <c r="B17" s="37">
        <f>IF($C$2=0,"-",AVERAGE(D17:K17))</f>
        <v>0.51190476190476186</v>
      </c>
      <c r="C17" s="1">
        <f>AI26</f>
        <v>0.25</v>
      </c>
      <c r="D17" s="206">
        <f>IF(D$39=0%,"-",IF(D$2=0,"-",BENETAS!$B17))</f>
        <v>0.5</v>
      </c>
      <c r="E17" s="206">
        <f>IF(E$39=0%,"-",IF(E$2=0,"-",'BLUE CARE'!$B17))</f>
        <v>0.58333333333333326</v>
      </c>
      <c r="F17" s="206">
        <f>IF(F$39=0%,"-",IF(F$2=0,"-",'BOLTON CLARKE'!$B17))</f>
        <v>0.41666666666666663</v>
      </c>
      <c r="G17" s="206">
        <f>IF(G$39=0%,"-",IF(G$2=0,"-",HAMMONDCARE!$B17))</f>
        <v>0.5</v>
      </c>
      <c r="H17" s="206">
        <f>IF(H$39=0%,"-",IF(H$2=0,"-",'SILVER CHAIN'!$B17))</f>
        <v>0.5</v>
      </c>
      <c r="I17" s="206">
        <f>IF(I$39=0%,"-",IF(I$2=0,"-",'UNITING AGE WELL'!$B17))</f>
        <v>0.41666666666666663</v>
      </c>
      <c r="J17" s="206">
        <f>IF(J$39=0%,"-",IF(J$2=0,"-",'UNITING NSW-ACT'!$B17))</f>
        <v>0.66666666666666663</v>
      </c>
      <c r="K17" s="206"/>
      <c r="L17" s="206"/>
      <c r="M17" s="206"/>
      <c r="N17" s="206"/>
      <c r="O17" s="206"/>
      <c r="P17" s="206"/>
      <c r="Q17" s="206"/>
      <c r="R17" s="206"/>
      <c r="S17" s="206"/>
      <c r="T17" s="206"/>
      <c r="U17" s="206"/>
      <c r="V17" s="206"/>
      <c r="W17" s="206"/>
      <c r="X17" s="206"/>
      <c r="Y17" s="206"/>
      <c r="Z17" s="206"/>
      <c r="AA17" s="206"/>
      <c r="AB17" s="206"/>
      <c r="AC17" s="206"/>
      <c r="AD17" s="206"/>
      <c r="AE17" s="206"/>
      <c r="AF17" s="206"/>
      <c r="AH17" s="9" t="s">
        <v>6</v>
      </c>
    </row>
    <row r="18" spans="1:35" ht="18" customHeight="1" x14ac:dyDescent="0.2">
      <c r="A18" s="86" t="str">
        <f>REPORT!N4</f>
        <v>INFORM</v>
      </c>
      <c r="B18" s="3">
        <f>IF($C$2=0,"-",AVERAGE(D18:K18))</f>
        <v>0.7142857142857143</v>
      </c>
      <c r="C18" s="202" t="s">
        <v>1</v>
      </c>
      <c r="D18" s="203">
        <f>IF(D$39=0%,"-",IF(D$2=0,"-",BENETAS!$B18))</f>
        <v>1</v>
      </c>
      <c r="E18" s="203">
        <f>IF(E$39=0%,"-",IF(E$2=0,"-",'BLUE CARE'!$B18))</f>
        <v>1</v>
      </c>
      <c r="F18" s="203">
        <f>IF(F$39=0%,"-",IF(F$2=0,"-",'BOLTON CLARKE'!$B18))</f>
        <v>0.33333333333333331</v>
      </c>
      <c r="G18" s="203">
        <f>IF(G$39=0%,"-",IF(G$2=0,"-",HAMMONDCARE!$B18))</f>
        <v>0.66666666666666663</v>
      </c>
      <c r="H18" s="203">
        <f>IF(H$39=0%,"-",IF(H$2=0,"-",'SILVER CHAIN'!$B18))</f>
        <v>0.66666666666666663</v>
      </c>
      <c r="I18" s="203">
        <f>IF(I$39=0%,"-",IF(I$2=0,"-",'UNITING AGE WELL'!$B18))</f>
        <v>0.33333333333333331</v>
      </c>
      <c r="J18" s="203">
        <f>IF(J$39=0%,"-",IF(J$2=0,"-",'UNITING NSW-ACT'!$B18))</f>
        <v>1</v>
      </c>
      <c r="K18" s="203"/>
      <c r="L18" s="203"/>
      <c r="M18" s="203"/>
      <c r="N18" s="203"/>
      <c r="O18" s="203"/>
      <c r="P18" s="203"/>
      <c r="Q18" s="203"/>
      <c r="R18" s="203"/>
      <c r="S18" s="203"/>
      <c r="T18" s="203"/>
      <c r="U18" s="203"/>
      <c r="V18" s="203"/>
      <c r="W18" s="203"/>
      <c r="X18" s="203"/>
      <c r="Y18" s="203"/>
      <c r="Z18" s="203"/>
      <c r="AA18" s="203"/>
      <c r="AB18" s="203"/>
      <c r="AC18" s="203"/>
      <c r="AD18" s="203"/>
      <c r="AE18" s="203"/>
      <c r="AF18" s="203"/>
    </row>
    <row r="19" spans="1:35" ht="18" customHeight="1" x14ac:dyDescent="0.2">
      <c r="A19" s="86" t="str">
        <f>REPORT!O4</f>
        <v>CHECK</v>
      </c>
      <c r="B19" s="3">
        <f>IF($C$2=0,"-",AVERAGE(D19:K19))</f>
        <v>4.7619047619047616E-2</v>
      </c>
      <c r="C19" s="202" t="s">
        <v>1</v>
      </c>
      <c r="D19" s="204">
        <f>IF(D$39=0%,"-",IF(D$2=0,"-",BENETAS!$B19))</f>
        <v>0</v>
      </c>
      <c r="E19" s="204">
        <f>IF(E$39=0%,"-",IF(E$2=0,"-",'BLUE CARE'!$B19))</f>
        <v>0</v>
      </c>
      <c r="F19" s="204">
        <f>IF(F$39=0%,"-",IF(F$2=0,"-",'BOLTON CLARKE'!$B19))</f>
        <v>0</v>
      </c>
      <c r="G19" s="204">
        <f>IF(G$39=0%,"-",IF(G$2=0,"-",HAMMONDCARE!$B19))</f>
        <v>0</v>
      </c>
      <c r="H19" s="204">
        <f>IF(H$39=0%,"-",IF(H$2=0,"-",'SILVER CHAIN'!$B19))</f>
        <v>0</v>
      </c>
      <c r="I19" s="204">
        <f>IF(I$39=0%,"-",IF(I$2=0,"-",'UNITING AGE WELL'!$B19))</f>
        <v>0</v>
      </c>
      <c r="J19" s="204">
        <f>IF(J$39=0%,"-",IF(J$2=0,"-",'UNITING NSW-ACT'!$B19))</f>
        <v>0.33333333333333331</v>
      </c>
      <c r="K19" s="204"/>
      <c r="L19" s="204"/>
      <c r="M19" s="204"/>
      <c r="N19" s="204"/>
      <c r="O19" s="204"/>
      <c r="P19" s="204"/>
      <c r="Q19" s="204"/>
      <c r="R19" s="204"/>
      <c r="S19" s="204"/>
      <c r="T19" s="204"/>
      <c r="U19" s="204"/>
      <c r="V19" s="204"/>
      <c r="W19" s="204"/>
      <c r="X19" s="204"/>
      <c r="Y19" s="204"/>
      <c r="Z19" s="204"/>
      <c r="AA19" s="204"/>
      <c r="AB19" s="204"/>
      <c r="AC19" s="204"/>
      <c r="AD19" s="204"/>
      <c r="AE19" s="204"/>
      <c r="AF19" s="204"/>
      <c r="AI19" t="s">
        <v>1</v>
      </c>
    </row>
    <row r="20" spans="1:35" ht="18" customHeight="1" x14ac:dyDescent="0.2">
      <c r="A20" s="86" t="str">
        <f>REPORT!P4</f>
        <v>SEEK</v>
      </c>
      <c r="B20" s="3">
        <f>IF($C$2=0,"-",AVERAGE(D20:K20))</f>
        <v>0.2857142857142857</v>
      </c>
      <c r="C20" s="202" t="s">
        <v>1</v>
      </c>
      <c r="D20" s="203">
        <f>IF(D$39=0%,"-",IF(D$2=0,"-",BENETAS!$B20))</f>
        <v>0</v>
      </c>
      <c r="E20" s="203">
        <f>IF(E$39=0%,"-",IF(E$2=0,"-",'BLUE CARE'!$B20))</f>
        <v>0.33333333333333331</v>
      </c>
      <c r="F20" s="203">
        <f>IF(F$39=0%,"-",IF(F$2=0,"-",'BOLTON CLARKE'!$B20))</f>
        <v>0.33333333333333331</v>
      </c>
      <c r="G20" s="203">
        <f>IF(G$39=0%,"-",IF(G$2=0,"-",HAMMONDCARE!$B20))</f>
        <v>0.33333333333333331</v>
      </c>
      <c r="H20" s="203">
        <f>IF(H$39=0%,"-",IF(H$2=0,"-",'SILVER CHAIN'!$B20))</f>
        <v>0.33333333333333331</v>
      </c>
      <c r="I20" s="203">
        <f>IF(I$39=0%,"-",IF(I$2=0,"-",'UNITING AGE WELL'!$B20))</f>
        <v>0.33333333333333331</v>
      </c>
      <c r="J20" s="203">
        <f>IF(J$39=0%,"-",IF(J$2=0,"-",'UNITING NSW-ACT'!$B20))</f>
        <v>0.33333333333333331</v>
      </c>
      <c r="K20" s="203"/>
      <c r="L20" s="203"/>
      <c r="M20" s="203"/>
      <c r="N20" s="203"/>
      <c r="O20" s="203"/>
      <c r="P20" s="203"/>
      <c r="Q20" s="203"/>
      <c r="R20" s="203"/>
      <c r="S20" s="203"/>
      <c r="T20" s="203"/>
      <c r="U20" s="203"/>
      <c r="V20" s="203"/>
      <c r="W20" s="203"/>
      <c r="X20" s="203"/>
      <c r="Y20" s="203"/>
      <c r="Z20" s="203"/>
      <c r="AA20" s="203"/>
      <c r="AB20" s="203"/>
      <c r="AC20" s="203"/>
      <c r="AD20" s="203"/>
      <c r="AE20" s="203"/>
      <c r="AF20" s="203"/>
      <c r="AH20" t="s">
        <v>1</v>
      </c>
    </row>
    <row r="21" spans="1:35" ht="18" customHeight="1" x14ac:dyDescent="0.2">
      <c r="A21" s="86" t="str">
        <f>REPORT!Q4</f>
        <v>CONFIDENCE</v>
      </c>
      <c r="B21" s="3">
        <f>IF($C$2=0,"-",AVERAGE(D21:K21))</f>
        <v>1</v>
      </c>
      <c r="C21" s="202" t="s">
        <v>1</v>
      </c>
      <c r="D21" s="204">
        <f>IF(D$39=0%,"-",IF(D$2=0,"-",BENETAS!$B21))</f>
        <v>1</v>
      </c>
      <c r="E21" s="204">
        <f>IF(E$39=0%,"-",IF(E$2=0,"-",'BLUE CARE'!$B21))</f>
        <v>1</v>
      </c>
      <c r="F21" s="204">
        <f>IF(F$39=0%,"-",IF(F$2=0,"-",'BOLTON CLARKE'!$B21))</f>
        <v>1</v>
      </c>
      <c r="G21" s="204">
        <f>IF(G$39=0%,"-",IF(G$2=0,"-",HAMMONDCARE!$B21))</f>
        <v>1</v>
      </c>
      <c r="H21" s="204">
        <f>IF(H$39=0%,"-",IF(H$2=0,"-",'SILVER CHAIN'!$B21))</f>
        <v>1</v>
      </c>
      <c r="I21" s="204">
        <f>IF(I$39=0%,"-",IF(I$2=0,"-",'UNITING AGE WELL'!$B21))</f>
        <v>1</v>
      </c>
      <c r="J21" s="204">
        <f>IF(J$39=0%,"-",IF(J$2=0,"-",'UNITING NSW-ACT'!$B21))</f>
        <v>1</v>
      </c>
      <c r="K21" s="204"/>
      <c r="L21" s="204"/>
      <c r="M21" s="204"/>
      <c r="N21" s="204"/>
      <c r="O21" s="204"/>
      <c r="P21" s="204"/>
      <c r="Q21" s="204"/>
      <c r="R21" s="204"/>
      <c r="S21" s="204"/>
      <c r="T21" s="204"/>
      <c r="U21" s="204"/>
      <c r="V21" s="204"/>
      <c r="W21" s="204"/>
      <c r="X21" s="204"/>
      <c r="Y21" s="204"/>
      <c r="Z21" s="204"/>
      <c r="AA21" s="204"/>
      <c r="AB21" s="204"/>
      <c r="AC21" s="204"/>
      <c r="AD21" s="204"/>
      <c r="AE21" s="204"/>
      <c r="AF21" s="204"/>
      <c r="AG21" t="s">
        <v>1</v>
      </c>
    </row>
    <row r="22" spans="1:35" ht="18" customHeight="1" x14ac:dyDescent="0.2">
      <c r="A22" s="2"/>
      <c r="C22" s="4"/>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H22" t="s">
        <v>1</v>
      </c>
    </row>
    <row r="23" spans="1:35" ht="18" customHeight="1" x14ac:dyDescent="0.2">
      <c r="A23" s="20" t="s">
        <v>12</v>
      </c>
      <c r="B23" s="37">
        <f>IF($C$2=0,"-",AVERAGE(D23:K23))</f>
        <v>0.38095238095238093</v>
      </c>
      <c r="C23" s="1">
        <f>AI27</f>
        <v>0.15</v>
      </c>
      <c r="D23" s="206">
        <f>IF(D$39=0%,"-",IF(D$2=0,"-",BENETAS!$B23))</f>
        <v>0.22222222222222221</v>
      </c>
      <c r="E23" s="206">
        <f>IF(E$39=0%,"-",IF(E$2=0,"-",'BLUE CARE'!$B23))</f>
        <v>0.44444444444444442</v>
      </c>
      <c r="F23" s="206">
        <f>IF(F$39=0%,"-",IF(F$2=0,"-",'BOLTON CLARKE'!$B23))</f>
        <v>0.33333333333333331</v>
      </c>
      <c r="G23" s="206">
        <f>IF(G$39=0%,"-",IF(G$2=0,"-",HAMMONDCARE!$B23))</f>
        <v>0.55555555555555547</v>
      </c>
      <c r="H23" s="206">
        <f>IF(H$39=0%,"-",IF(H$2=0,"-",'SILVER CHAIN'!$B23))</f>
        <v>0.44444444444444442</v>
      </c>
      <c r="I23" s="206">
        <f>IF(I$39=0%,"-",IF(I$2=0,"-",'UNITING AGE WELL'!$B23))</f>
        <v>0.44444444444444442</v>
      </c>
      <c r="J23" s="206">
        <f>IF(J$39=0%,"-",IF(J$2=0,"-",'UNITING NSW-ACT'!$B23))</f>
        <v>0.22222222222222221</v>
      </c>
      <c r="K23" s="206"/>
      <c r="L23" s="206"/>
      <c r="M23" s="206"/>
      <c r="N23" s="206"/>
      <c r="O23" s="206"/>
      <c r="P23" s="206"/>
      <c r="Q23" s="206"/>
      <c r="R23" s="206"/>
      <c r="S23" s="206"/>
      <c r="T23" s="206"/>
      <c r="U23" s="206"/>
      <c r="V23" s="206"/>
      <c r="W23" s="206"/>
      <c r="X23" s="206"/>
      <c r="Y23" s="206"/>
      <c r="Z23" s="206"/>
      <c r="AA23" s="206"/>
      <c r="AB23" s="206"/>
      <c r="AC23" s="206"/>
      <c r="AD23" s="206"/>
      <c r="AE23" s="206"/>
      <c r="AF23" s="206"/>
      <c r="AH23" s="51" t="s">
        <v>42</v>
      </c>
      <c r="AI23" s="52">
        <f>SUM(AI24:AI28)</f>
        <v>1</v>
      </c>
    </row>
    <row r="24" spans="1:35" ht="18" customHeight="1" x14ac:dyDescent="0.2">
      <c r="A24" s="86" t="str">
        <f>REPORT!S4</f>
        <v>QUESTIONS</v>
      </c>
      <c r="B24" s="3">
        <f>IF($C$2=0,"-",AVERAGE(D24:K24))</f>
        <v>9.5238095238095233E-2</v>
      </c>
      <c r="C24" s="202" t="s">
        <v>1</v>
      </c>
      <c r="D24" s="203">
        <f>IF(D$39=0%,"-",IF(D$2=0,"-",BENETAS!$B24))</f>
        <v>0</v>
      </c>
      <c r="E24" s="203">
        <f>IF(E$39=0%,"-",IF(E$2=0,"-",'BLUE CARE'!$B24))</f>
        <v>0.33333333333333331</v>
      </c>
      <c r="F24" s="203">
        <f>IF(F$39=0%,"-",IF(F$2=0,"-",'BOLTON CLARKE'!$B24))</f>
        <v>0</v>
      </c>
      <c r="G24" s="203">
        <f>IF(G$39=0%,"-",IF(G$2=0,"-",HAMMONDCARE!$B24))</f>
        <v>0</v>
      </c>
      <c r="H24" s="203">
        <f>IF(H$39=0%,"-",IF(H$2=0,"-",'SILVER CHAIN'!$B24))</f>
        <v>0.33333333333333331</v>
      </c>
      <c r="I24" s="203">
        <f>IF(I$39=0%,"-",IF(I$2=0,"-",'UNITING AGE WELL'!$B24))</f>
        <v>0</v>
      </c>
      <c r="J24" s="203">
        <f>IF(J$39=0%,"-",IF(J$2=0,"-",'UNITING NSW-ACT'!$B24))</f>
        <v>0</v>
      </c>
      <c r="K24" s="203"/>
      <c r="L24" s="203"/>
      <c r="M24" s="203"/>
      <c r="N24" s="203"/>
      <c r="O24" s="203"/>
      <c r="P24" s="203"/>
      <c r="Q24" s="203"/>
      <c r="R24" s="203"/>
      <c r="S24" s="203"/>
      <c r="T24" s="203"/>
      <c r="U24" s="203"/>
      <c r="V24" s="203"/>
      <c r="W24" s="203"/>
      <c r="X24" s="203"/>
      <c r="Y24" s="203"/>
      <c r="Z24" s="203"/>
      <c r="AA24" s="203"/>
      <c r="AB24" s="203"/>
      <c r="AC24" s="203"/>
      <c r="AD24" s="203"/>
      <c r="AE24" s="203"/>
      <c r="AF24" s="203"/>
      <c r="AH24" s="53" t="s">
        <v>9</v>
      </c>
      <c r="AI24" s="54">
        <v>0.2</v>
      </c>
    </row>
    <row r="25" spans="1:35" ht="18" customHeight="1" x14ac:dyDescent="0.2">
      <c r="A25" s="86" t="str">
        <f>REPORT!T4</f>
        <v>GRATITUDE</v>
      </c>
      <c r="B25" s="3">
        <f>IF($C$2=0,"-",AVERAGE(D25:K25))</f>
        <v>0.19047619047619047</v>
      </c>
      <c r="C25" s="202" t="s">
        <v>1</v>
      </c>
      <c r="D25" s="204">
        <f>IF(D$39=0%,"-",IF(D$2=0,"-",BENETAS!$B25))</f>
        <v>0</v>
      </c>
      <c r="E25" s="204">
        <f>IF(E$39=0%,"-",IF(E$2=0,"-",'BLUE CARE'!$B25))</f>
        <v>0</v>
      </c>
      <c r="F25" s="204">
        <f>IF(F$39=0%,"-",IF(F$2=0,"-",'BOLTON CLARKE'!$B25))</f>
        <v>0</v>
      </c>
      <c r="G25" s="204">
        <f>IF(G$39=0%,"-",IF(G$2=0,"-",HAMMONDCARE!$B25))</f>
        <v>0.66666666666666663</v>
      </c>
      <c r="H25" s="204">
        <f>IF(H$39=0%,"-",IF(H$2=0,"-",'SILVER CHAIN'!$B25))</f>
        <v>0.33333333333333331</v>
      </c>
      <c r="I25" s="204">
        <f>IF(I$39=0%,"-",IF(I$2=0,"-",'UNITING AGE WELL'!$B25))</f>
        <v>0.33333333333333331</v>
      </c>
      <c r="J25" s="204">
        <f>IF(J$39=0%,"-",IF(J$2=0,"-",'UNITING NSW-ACT'!$B25))</f>
        <v>0</v>
      </c>
      <c r="K25" s="204"/>
      <c r="L25" s="204"/>
      <c r="M25" s="204"/>
      <c r="N25" s="204"/>
      <c r="O25" s="204"/>
      <c r="P25" s="204"/>
      <c r="Q25" s="204"/>
      <c r="R25" s="204"/>
      <c r="S25" s="204"/>
      <c r="T25" s="204"/>
      <c r="U25" s="204"/>
      <c r="V25" s="204"/>
      <c r="W25" s="204"/>
      <c r="X25" s="204"/>
      <c r="Y25" s="204"/>
      <c r="Z25" s="204"/>
      <c r="AA25" s="204"/>
      <c r="AB25" s="204"/>
      <c r="AC25" s="204"/>
      <c r="AD25" s="204"/>
      <c r="AE25" s="204"/>
      <c r="AF25" s="204"/>
      <c r="AH25" s="53" t="s">
        <v>10</v>
      </c>
      <c r="AI25" s="54">
        <v>0.2</v>
      </c>
    </row>
    <row r="26" spans="1:35" ht="18" customHeight="1" x14ac:dyDescent="0.2">
      <c r="A26" s="86" t="str">
        <f>REPORT!U4</f>
        <v>THANKS</v>
      </c>
      <c r="B26" s="3">
        <f>IF($C$2=0,"-",AVERAGE(D26:K26))</f>
        <v>0.8571428571428571</v>
      </c>
      <c r="C26" s="202" t="s">
        <v>1</v>
      </c>
      <c r="D26" s="203">
        <f>IF(D$39=0%,"-",IF(D$2=0,"-",BENETAS!$B26))</f>
        <v>0.66666666666666663</v>
      </c>
      <c r="E26" s="203">
        <f>IF(E$39=0%,"-",IF(E$2=0,"-",'BLUE CARE'!$B26))</f>
        <v>1</v>
      </c>
      <c r="F26" s="203">
        <f>IF(F$39=0%,"-",IF(F$2=0,"-",'BOLTON CLARKE'!$B26))</f>
        <v>1</v>
      </c>
      <c r="G26" s="203">
        <f>IF(G$39=0%,"-",IF(G$2=0,"-",HAMMONDCARE!$B26))</f>
        <v>1</v>
      </c>
      <c r="H26" s="203">
        <f>IF(H$39=0%,"-",IF(H$2=0,"-",'SILVER CHAIN'!$B26))</f>
        <v>0.66666666666666663</v>
      </c>
      <c r="I26" s="203">
        <f>IF(I$39=0%,"-",IF(I$2=0,"-",'UNITING AGE WELL'!$B26))</f>
        <v>1</v>
      </c>
      <c r="J26" s="203">
        <f>IF(J$39=0%,"-",IF(J$2=0,"-",'UNITING NSW-ACT'!$B26))</f>
        <v>0.66666666666666663</v>
      </c>
      <c r="K26" s="203"/>
      <c r="L26" s="203"/>
      <c r="M26" s="203"/>
      <c r="N26" s="203"/>
      <c r="O26" s="203"/>
      <c r="P26" s="203"/>
      <c r="Q26" s="203"/>
      <c r="R26" s="203"/>
      <c r="S26" s="203"/>
      <c r="T26" s="203"/>
      <c r="U26" s="203"/>
      <c r="V26" s="203"/>
      <c r="W26" s="203"/>
      <c r="X26" s="203"/>
      <c r="Y26" s="203"/>
      <c r="Z26" s="203"/>
      <c r="AA26" s="203"/>
      <c r="AB26" s="203"/>
      <c r="AC26" s="203"/>
      <c r="AD26" s="203"/>
      <c r="AE26" s="203"/>
      <c r="AF26" s="203"/>
      <c r="AH26" s="53" t="s">
        <v>11</v>
      </c>
      <c r="AI26" s="54">
        <v>0.25</v>
      </c>
    </row>
    <row r="27" spans="1:35" ht="18" customHeight="1" x14ac:dyDescent="0.2">
      <c r="A27" s="2"/>
      <c r="C27" s="4"/>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H27" s="53" t="s">
        <v>12</v>
      </c>
      <c r="AI27" s="54">
        <v>0.15</v>
      </c>
    </row>
    <row r="28" spans="1:35" ht="18" customHeight="1" x14ac:dyDescent="0.2">
      <c r="A28" s="20" t="s">
        <v>117</v>
      </c>
      <c r="B28" s="37">
        <f>IF($C$2=0,"-",AVERAGE(D28:K28))</f>
        <v>0.8214285714285714</v>
      </c>
      <c r="C28" s="1">
        <f>AI28</f>
        <v>0.2</v>
      </c>
      <c r="D28" s="206">
        <f>IF(D$39=0%,"-",IF(D$2=0,"-",BENETAS!$B28))</f>
        <v>0.91666666666666663</v>
      </c>
      <c r="E28" s="206">
        <f>IF(E$39=0%,"-",IF(E$2=0,"-",'BLUE CARE'!$B28))</f>
        <v>0.91666666666666663</v>
      </c>
      <c r="F28" s="206">
        <f>IF(F$39=0%,"-",IF(F$2=0,"-",'BOLTON CLARKE'!$B28))</f>
        <v>0.66666666666666663</v>
      </c>
      <c r="G28" s="206">
        <f>IF(G$39=0%,"-",IF(G$2=0,"-",HAMMONDCARE!$B28))</f>
        <v>0.83333333333333337</v>
      </c>
      <c r="H28" s="206">
        <f>IF(H$39=0%,"-",IF(H$2=0,"-",'SILVER CHAIN'!$B28))</f>
        <v>0.91666666666666663</v>
      </c>
      <c r="I28" s="206">
        <f>IF(I$39=0%,"-",IF(I$2=0,"-",'UNITING AGE WELL'!$B28))</f>
        <v>0.58333333333333326</v>
      </c>
      <c r="J28" s="206">
        <f>IF(J$39=0%,"-",IF(J$2=0,"-",'UNITING NSW-ACT'!$B28))</f>
        <v>0.91666666666666663</v>
      </c>
      <c r="K28" s="206"/>
      <c r="L28" s="206"/>
      <c r="M28" s="206"/>
      <c r="N28" s="206"/>
      <c r="O28" s="206"/>
      <c r="P28" s="206"/>
      <c r="Q28" s="206"/>
      <c r="R28" s="206"/>
      <c r="S28" s="206"/>
      <c r="T28" s="206"/>
      <c r="U28" s="206"/>
      <c r="V28" s="206"/>
      <c r="W28" s="206"/>
      <c r="X28" s="206"/>
      <c r="Y28" s="206"/>
      <c r="Z28" s="206"/>
      <c r="AA28" s="206"/>
      <c r="AB28" s="206"/>
      <c r="AC28" s="206"/>
      <c r="AD28" s="206"/>
      <c r="AE28" s="206"/>
      <c r="AF28" s="206"/>
      <c r="AH28" s="55" t="s">
        <v>76</v>
      </c>
      <c r="AI28" s="56">
        <v>0.2</v>
      </c>
    </row>
    <row r="29" spans="1:35" ht="18" customHeight="1" x14ac:dyDescent="0.2">
      <c r="A29" s="86" t="str">
        <f>REPORT!W4</f>
        <v>VIBRANCY</v>
      </c>
      <c r="B29" s="3">
        <f>IF($C$2=0,"-",AVERAGE(D29:K29))</f>
        <v>1</v>
      </c>
      <c r="C29" s="202" t="s">
        <v>1</v>
      </c>
      <c r="D29" s="203">
        <f>IF(D$39=0%,"-",IF(D$2=0,"-",BENETAS!$B29))</f>
        <v>1</v>
      </c>
      <c r="E29" s="203">
        <f>IF(E$39=0%,"-",IF(E$2=0,"-",'BLUE CARE'!$B29))</f>
        <v>1</v>
      </c>
      <c r="F29" s="203">
        <f>IF(F$39=0%,"-",IF(F$2=0,"-",'BOLTON CLARKE'!$B29))</f>
        <v>1</v>
      </c>
      <c r="G29" s="203">
        <f>IF(G$39=0%,"-",IF(G$2=0,"-",HAMMONDCARE!$B29))</f>
        <v>1</v>
      </c>
      <c r="H29" s="203">
        <f>IF(H$39=0%,"-",IF(H$2=0,"-",'SILVER CHAIN'!$B29))</f>
        <v>1</v>
      </c>
      <c r="I29" s="203">
        <f>IF(I$39=0%,"-",IF(I$2=0,"-",'UNITING AGE WELL'!$B29))</f>
        <v>1</v>
      </c>
      <c r="J29" s="203">
        <f>IF(J$39=0%,"-",IF(J$2=0,"-",'UNITING NSW-ACT'!$B29))</f>
        <v>1</v>
      </c>
      <c r="K29" s="203"/>
      <c r="L29" s="203"/>
      <c r="M29" s="203"/>
      <c r="N29" s="203"/>
      <c r="O29" s="203"/>
      <c r="P29" s="203"/>
      <c r="Q29" s="203"/>
      <c r="R29" s="203"/>
      <c r="S29" s="203"/>
      <c r="T29" s="203"/>
      <c r="U29" s="203"/>
      <c r="V29" s="203"/>
      <c r="W29" s="203"/>
      <c r="X29" s="203"/>
      <c r="Y29" s="203"/>
      <c r="Z29" s="203"/>
      <c r="AA29" s="203"/>
      <c r="AB29" s="203"/>
      <c r="AC29" s="203"/>
      <c r="AD29" s="203"/>
      <c r="AE29" s="203"/>
      <c r="AF29" s="203"/>
    </row>
    <row r="30" spans="1:35" ht="18" customHeight="1" x14ac:dyDescent="0.2">
      <c r="A30" s="86" t="str">
        <f>REPORT!X4</f>
        <v>EMPATHY</v>
      </c>
      <c r="B30" s="3">
        <f>IF($C$2=0,"-",AVERAGE(D30:K30))</f>
        <v>0.85714285714285732</v>
      </c>
      <c r="C30" s="202" t="s">
        <v>1</v>
      </c>
      <c r="D30" s="204">
        <f>IF(D$39=0%,"-",IF(D$2=0,"-",BENETAS!$B30))</f>
        <v>1</v>
      </c>
      <c r="E30" s="204">
        <f>IF(E$39=0%,"-",IF(E$2=0,"-",'BLUE CARE'!$B30))</f>
        <v>1</v>
      </c>
      <c r="F30" s="204">
        <f>IF(F$39=0%,"-",IF(F$2=0,"-",'BOLTON CLARKE'!$B30))</f>
        <v>0.33333333333333331</v>
      </c>
      <c r="G30" s="204">
        <f>IF(G$39=0%,"-",IF(G$2=0,"-",HAMMONDCARE!$B30))</f>
        <v>1</v>
      </c>
      <c r="H30" s="204">
        <f>IF(H$39=0%,"-",IF(H$2=0,"-",'SILVER CHAIN'!$B30))</f>
        <v>1</v>
      </c>
      <c r="I30" s="204">
        <f>IF(I$39=0%,"-",IF(I$2=0,"-",'UNITING AGE WELL'!$B30))</f>
        <v>0.66666666666666663</v>
      </c>
      <c r="J30" s="204">
        <f>IF(J$39=0%,"-",IF(J$2=0,"-",'UNITING NSW-ACT'!$B30))</f>
        <v>1</v>
      </c>
      <c r="K30" s="204"/>
      <c r="L30" s="204"/>
      <c r="M30" s="204"/>
      <c r="N30" s="204"/>
      <c r="O30" s="204"/>
      <c r="P30" s="204"/>
      <c r="Q30" s="204"/>
      <c r="R30" s="204"/>
      <c r="S30" s="204"/>
      <c r="T30" s="204"/>
      <c r="U30" s="204"/>
      <c r="V30" s="204"/>
      <c r="W30" s="204"/>
      <c r="X30" s="204"/>
      <c r="Y30" s="204"/>
      <c r="Z30" s="204"/>
      <c r="AA30" s="204"/>
      <c r="AB30" s="204"/>
      <c r="AC30" s="204"/>
      <c r="AD30" s="204"/>
      <c r="AE30" s="204"/>
      <c r="AF30" s="204"/>
    </row>
    <row r="31" spans="1:35" ht="18" customHeight="1" x14ac:dyDescent="0.2">
      <c r="A31" s="86" t="str">
        <f>REPORT!Y4</f>
        <v>CONTROL</v>
      </c>
      <c r="B31" s="3">
        <f>IF($C$2=0,"-",AVERAGE(D31:K31))</f>
        <v>0.80952380952380953</v>
      </c>
      <c r="C31" s="202" t="s">
        <v>1</v>
      </c>
      <c r="D31" s="203">
        <f>IF(D$39=0%,"-",IF(D$2=0,"-",BENETAS!$B31))</f>
        <v>0.66666666666666663</v>
      </c>
      <c r="E31" s="203">
        <f>IF(E$39=0%,"-",IF(E$2=0,"-",'BLUE CARE'!$B31))</f>
        <v>1</v>
      </c>
      <c r="F31" s="203">
        <f>IF(F$39=0%,"-",IF(F$2=0,"-",'BOLTON CLARKE'!$B31))</f>
        <v>1</v>
      </c>
      <c r="G31" s="203">
        <f>IF(G$39=0%,"-",IF(G$2=0,"-",HAMMONDCARE!$B31))</f>
        <v>1</v>
      </c>
      <c r="H31" s="203">
        <f>IF(H$39=0%,"-",IF(H$2=0,"-",'SILVER CHAIN'!$B31))</f>
        <v>0.66666666666666663</v>
      </c>
      <c r="I31" s="203">
        <f>IF(I$39=0%,"-",IF(I$2=0,"-",'UNITING AGE WELL'!$B31))</f>
        <v>0.66666666666666663</v>
      </c>
      <c r="J31" s="203">
        <f>IF(J$39=0%,"-",IF(J$2=0,"-",'UNITING NSW-ACT'!$B31))</f>
        <v>0.66666666666666663</v>
      </c>
      <c r="K31" s="203"/>
      <c r="L31" s="203"/>
      <c r="M31" s="203"/>
      <c r="N31" s="203"/>
      <c r="O31" s="203"/>
      <c r="P31" s="203"/>
      <c r="Q31" s="203"/>
      <c r="R31" s="203"/>
      <c r="S31" s="203"/>
      <c r="T31" s="203"/>
      <c r="U31" s="203"/>
      <c r="V31" s="203"/>
      <c r="W31" s="203"/>
      <c r="X31" s="203"/>
      <c r="Y31" s="203"/>
      <c r="Z31" s="203"/>
      <c r="AA31" s="203"/>
      <c r="AB31" s="203"/>
      <c r="AC31" s="203"/>
      <c r="AD31" s="203"/>
      <c r="AE31" s="203"/>
      <c r="AF31" s="203"/>
    </row>
    <row r="32" spans="1:35" ht="18" customHeight="1" x14ac:dyDescent="0.2">
      <c r="A32" s="86" t="str">
        <f>REPORT!Z4</f>
        <v>CLARITY</v>
      </c>
      <c r="B32" s="3">
        <f>IF($C$2=0,"-",AVERAGE(D32:K32))</f>
        <v>0.61904761904761896</v>
      </c>
      <c r="C32" s="202" t="s">
        <v>1</v>
      </c>
      <c r="D32" s="204">
        <f>IF(D$39=0%,"-",IF(D$2=0,"-",BENETAS!$B32))</f>
        <v>1</v>
      </c>
      <c r="E32" s="204">
        <f>IF(E$39=0%,"-",IF(E$2=0,"-",'BLUE CARE'!$B32))</f>
        <v>0.66666666666666663</v>
      </c>
      <c r="F32" s="204">
        <f>IF(F$39=0%,"-",IF(F$2=0,"-",'BOLTON CLARKE'!$B32))</f>
        <v>0.33333333333333331</v>
      </c>
      <c r="G32" s="204">
        <f>IF(G$39=0%,"-",IF(G$2=0,"-",HAMMONDCARE!$B32))</f>
        <v>0.33333333333333331</v>
      </c>
      <c r="H32" s="204">
        <f>IF(H$39=0%,"-",IF(H$2=0,"-",'SILVER CHAIN'!$B32))</f>
        <v>1</v>
      </c>
      <c r="I32" s="204">
        <f>IF(I$39=0%,"-",IF(I$2=0,"-",'UNITING AGE WELL'!$B32))</f>
        <v>0</v>
      </c>
      <c r="J32" s="204">
        <f>IF(J$39=0%,"-",IF(J$2=0,"-",'UNITING NSW-ACT'!$B32))</f>
        <v>1</v>
      </c>
      <c r="K32" s="204"/>
      <c r="L32" s="204"/>
      <c r="M32" s="204"/>
      <c r="N32" s="204"/>
      <c r="O32" s="204"/>
      <c r="P32" s="204"/>
      <c r="Q32" s="204"/>
      <c r="R32" s="204"/>
      <c r="S32" s="204"/>
      <c r="T32" s="204"/>
      <c r="U32" s="204"/>
      <c r="V32" s="204"/>
      <c r="W32" s="204"/>
      <c r="X32" s="204"/>
      <c r="Y32" s="204"/>
      <c r="Z32" s="204"/>
      <c r="AA32" s="204"/>
      <c r="AB32" s="204"/>
      <c r="AC32" s="204"/>
      <c r="AD32" s="204"/>
      <c r="AE32" s="204"/>
      <c r="AF32" s="204"/>
    </row>
    <row r="33" spans="1:34" ht="18" customHeight="1" x14ac:dyDescent="0.2">
      <c r="A33" s="5"/>
      <c r="B33" s="6"/>
      <c r="C33" s="6"/>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row>
    <row r="34" spans="1:34" s="210" customFormat="1" ht="18" customHeight="1" x14ac:dyDescent="0.25">
      <c r="A34" s="207" t="s">
        <v>47</v>
      </c>
      <c r="B34" s="37">
        <f>IF($C$2=0,"-",AVERAGE(D34:K34))</f>
        <v>0</v>
      </c>
      <c r="C34" s="208" t="s">
        <v>41</v>
      </c>
      <c r="D34" s="209">
        <f>IF(D$39=0%,"-",BENETAS!$B$34)</f>
        <v>0</v>
      </c>
      <c r="E34" s="209">
        <f>IF(E$39=0%,"-",'BLUE CARE'!$B$34)</f>
        <v>0</v>
      </c>
      <c r="F34" s="209">
        <f>IF(F$39=0%,"-",'BOLTON CLARKE'!$B$34)</f>
        <v>0</v>
      </c>
      <c r="G34" s="209">
        <f>IF(G$39=0%,"-",HAMMONDCARE!$B$34)</f>
        <v>0</v>
      </c>
      <c r="H34" s="209">
        <f>IF(H$39=0%,"-",'SILVER CHAIN'!$B$34)</f>
        <v>0</v>
      </c>
      <c r="I34" s="209">
        <f>IF(I$39=0%,"-",'UNITING AGE WELL'!$B$34)</f>
        <v>0</v>
      </c>
      <c r="J34" s="209">
        <f>IF(J$39=0%,"-",'UNITING NSW-ACT'!$B$34)</f>
        <v>0</v>
      </c>
      <c r="K34" s="209"/>
      <c r="L34" s="209"/>
      <c r="M34" s="209"/>
      <c r="N34" s="209"/>
      <c r="O34" s="209"/>
      <c r="P34" s="209"/>
      <c r="Q34" s="209"/>
      <c r="R34" s="209"/>
      <c r="S34" s="209"/>
      <c r="T34" s="209"/>
      <c r="U34" s="209"/>
      <c r="V34" s="209"/>
      <c r="W34" s="209"/>
      <c r="X34" s="209"/>
      <c r="Y34" s="209"/>
      <c r="Z34" s="209"/>
      <c r="AA34" s="209"/>
      <c r="AB34" s="209"/>
      <c r="AC34" s="209"/>
      <c r="AD34" s="209"/>
      <c r="AE34" s="209"/>
      <c r="AF34" s="209"/>
      <c r="AH34" s="211"/>
    </row>
    <row r="35" spans="1:34" ht="18" customHeight="1" x14ac:dyDescent="0.2">
      <c r="A35" s="45" t="str">
        <f>REPORT!AC4</f>
        <v>AUDIO ISSUE (MAJOR IMPACT)</v>
      </c>
      <c r="B35" s="3">
        <f>IF($C$2=0,"-",AVERAGE(D35:K35))</f>
        <v>0</v>
      </c>
      <c r="C35" s="212">
        <v>-0.3</v>
      </c>
      <c r="D35" s="203">
        <f>IF(D$39=0%,"-",IF(D$2=0,"-",BENETAS!$B35))</f>
        <v>0</v>
      </c>
      <c r="E35" s="203">
        <f>IF(E$39=0%,"-",IF(E$2=0,"-",'BLUE CARE'!$B35))</f>
        <v>0</v>
      </c>
      <c r="F35" s="203">
        <f>IF(F$39=0%,"-",IF(F$2=0,"-",'BOLTON CLARKE'!$B35))</f>
        <v>0</v>
      </c>
      <c r="G35" s="203">
        <f>IF(G$39=0%,"-",IF(G$2=0,"-",HAMMONDCARE!$B35))</f>
        <v>0</v>
      </c>
      <c r="H35" s="203">
        <f>IF(H$39=0%,"-",IF(H$2=0,"-",'SILVER CHAIN'!$B35))</f>
        <v>0</v>
      </c>
      <c r="I35" s="203">
        <f>IF(I$39=0%,"-",IF(I$2=0,"-",'UNITING AGE WELL'!$B35))</f>
        <v>0</v>
      </c>
      <c r="J35" s="203">
        <f>IF(J$39=0%,"-",IF(J$2=0,"-",'UNITING NSW-ACT'!$B35))</f>
        <v>0</v>
      </c>
      <c r="K35" s="203"/>
      <c r="L35" s="203"/>
      <c r="M35" s="203"/>
      <c r="N35" s="203"/>
      <c r="O35" s="203"/>
      <c r="P35" s="203"/>
      <c r="Q35" s="203"/>
      <c r="R35" s="203"/>
      <c r="S35" s="203"/>
      <c r="T35" s="203"/>
      <c r="U35" s="203"/>
      <c r="V35" s="203"/>
      <c r="W35" s="203"/>
      <c r="X35" s="203"/>
      <c r="Y35" s="203"/>
      <c r="Z35" s="203"/>
      <c r="AA35" s="203"/>
      <c r="AB35" s="203"/>
      <c r="AC35" s="203"/>
      <c r="AD35" s="203"/>
      <c r="AE35" s="203"/>
      <c r="AF35" s="203"/>
      <c r="AH35" t="s">
        <v>1</v>
      </c>
    </row>
    <row r="36" spans="1:34" ht="18" customHeight="1" x14ac:dyDescent="0.2">
      <c r="A36" s="45" t="str">
        <f>REPORT!AD4</f>
        <v>AUDIO ISSUE (DISTRACTION)</v>
      </c>
      <c r="B36" s="3">
        <f>IF($C$2=0,"-",AVERAGE(D36:K36))</f>
        <v>0</v>
      </c>
      <c r="C36" s="212">
        <v>-0.1</v>
      </c>
      <c r="D36" s="204">
        <f>IF(D$39=0%,"-",IF(D$2=0,"-",BENETAS!$B36))</f>
        <v>0</v>
      </c>
      <c r="E36" s="204">
        <f>IF(E$39=0%,"-",IF(E$2=0,"-",'BLUE CARE'!$B36))</f>
        <v>0</v>
      </c>
      <c r="F36" s="204">
        <f>IF(F$39=0%,"-",IF(F$2=0,"-",'BOLTON CLARKE'!$B36))</f>
        <v>0</v>
      </c>
      <c r="G36" s="204">
        <f>IF(G$39=0%,"-",IF(G$2=0,"-",HAMMONDCARE!$B36))</f>
        <v>0</v>
      </c>
      <c r="H36" s="204">
        <f>IF(H$39=0%,"-",IF(H$2=0,"-",'SILVER CHAIN'!$B36))</f>
        <v>0</v>
      </c>
      <c r="I36" s="204">
        <f>IF(I$39=0%,"-",IF(I$2=0,"-",'UNITING AGE WELL'!$B36))</f>
        <v>0</v>
      </c>
      <c r="J36" s="204">
        <f>IF(J$39=0%,"-",IF(J$2=0,"-",'UNITING NSW-ACT'!$B36))</f>
        <v>0</v>
      </c>
      <c r="K36" s="204"/>
      <c r="L36" s="204"/>
      <c r="M36" s="204"/>
      <c r="N36" s="204"/>
      <c r="O36" s="204"/>
      <c r="P36" s="204"/>
      <c r="Q36" s="204"/>
      <c r="R36" s="204"/>
      <c r="S36" s="204"/>
      <c r="T36" s="204"/>
      <c r="U36" s="204"/>
      <c r="V36" s="204"/>
      <c r="W36" s="204"/>
      <c r="X36" s="204"/>
      <c r="Y36" s="204"/>
      <c r="Z36" s="204"/>
      <c r="AA36" s="204"/>
      <c r="AB36" s="204"/>
      <c r="AC36" s="204"/>
      <c r="AD36" s="204"/>
      <c r="AE36" s="204"/>
      <c r="AF36" s="204"/>
    </row>
    <row r="37" spans="1:34" ht="18" customHeight="1" x14ac:dyDescent="0.2">
      <c r="A37" s="40"/>
      <c r="B37" s="41"/>
      <c r="C37" s="6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row>
    <row r="38" spans="1:34" ht="18" customHeight="1" x14ac:dyDescent="0.2">
      <c r="A38" s="213" t="s">
        <v>34</v>
      </c>
      <c r="B38" s="36"/>
      <c r="C38" s="10" t="s">
        <v>1</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row>
    <row r="39" spans="1:34" ht="18" customHeight="1" x14ac:dyDescent="0.2">
      <c r="A39" s="86" t="str">
        <f>REPORT!AF4</f>
        <v>CALL ANSWERED-QUALITY</v>
      </c>
      <c r="B39" s="3">
        <f>IF($C$2=0,"-",AVERAGE(D39:K39))</f>
        <v>1</v>
      </c>
      <c r="C39" s="215" t="s">
        <v>1</v>
      </c>
      <c r="D39" s="204">
        <f>IF(BENETAS!$C2=0,"-",BENETAS!$B39)</f>
        <v>1</v>
      </c>
      <c r="E39" s="204">
        <f>IF('BLUE CARE'!$C2=0,"-",'BLUE CARE'!$B39)</f>
        <v>1</v>
      </c>
      <c r="F39" s="204">
        <f>IF('BOLTON CLARKE'!$C2=0,"-",'BOLTON CLARKE'!$B39)</f>
        <v>1</v>
      </c>
      <c r="G39" s="204">
        <f>IF(HAMMONDCARE!$C2=0,"-",HAMMONDCARE!$B39)</f>
        <v>1</v>
      </c>
      <c r="H39" s="204">
        <f>IF('SILVER CHAIN'!$C2=0,"-",'SILVER CHAIN'!$B39)</f>
        <v>1</v>
      </c>
      <c r="I39" s="204">
        <f>IF('UNITING AGE WELL'!$C2=0,"-",'UNITING AGE WELL'!$B39)</f>
        <v>1</v>
      </c>
      <c r="J39" s="204">
        <f>IF('UNITING NSW-ACT'!$C2=0,"-",'UNITING NSW-ACT'!$B39)</f>
        <v>1</v>
      </c>
      <c r="K39" s="204"/>
      <c r="L39" s="204"/>
      <c r="M39" s="204"/>
      <c r="N39" s="204"/>
      <c r="O39" s="204"/>
      <c r="P39" s="204"/>
      <c r="Q39" s="204"/>
      <c r="R39" s="204"/>
      <c r="S39" s="204"/>
      <c r="T39" s="204"/>
      <c r="U39" s="204"/>
      <c r="V39" s="204"/>
      <c r="W39" s="204"/>
      <c r="X39" s="204"/>
      <c r="Y39" s="204"/>
      <c r="Z39" s="204"/>
      <c r="AA39" s="204"/>
      <c r="AB39" s="204"/>
      <c r="AC39" s="204"/>
      <c r="AD39" s="204"/>
      <c r="AE39" s="204"/>
      <c r="AF39" s="204"/>
    </row>
    <row r="40" spans="1:34" ht="18" customHeight="1" x14ac:dyDescent="0.2">
      <c r="A40" s="86" t="str">
        <f>REPORT!AG4</f>
        <v>TALK TIME</v>
      </c>
      <c r="B40" s="288">
        <f>IF($C$2=0,"-",AVERAGE(D40:K40))</f>
        <v>2.3589065255731926E-3</v>
      </c>
      <c r="C40" s="216" t="s">
        <v>1</v>
      </c>
      <c r="D40" s="288">
        <f>IF(D$39=0%,"-",IF(D$2=0,"-",BENETAS!$B40))</f>
        <v>2.7199074074074074E-3</v>
      </c>
      <c r="E40" s="288">
        <f>IF(E$39=0%,"-",IF(E$2=0,"-",'BLUE CARE'!$B40))</f>
        <v>1.6550925925925926E-3</v>
      </c>
      <c r="F40" s="288">
        <f>IF(F$39=0%,"-",IF(F$2=0,"-",'BOLTON CLARKE'!$B40))</f>
        <v>2.5462962962962965E-3</v>
      </c>
      <c r="G40" s="288">
        <f>IF(G$39=0%,"-",IF(G$2=0,"-",HAMMONDCARE!$B40))</f>
        <v>2.2492283950617284E-3</v>
      </c>
      <c r="H40" s="288">
        <f>IF(H$39=0%,"-",IF(H$2=0,"-",'SILVER CHAIN'!$B40))</f>
        <v>1.2538580246913582E-3</v>
      </c>
      <c r="I40" s="288">
        <f>IF(I$39=0%,"-",IF(I$2=0,"-",'UNITING AGE WELL'!$B40))</f>
        <v>1.508487654320988E-3</v>
      </c>
      <c r="J40" s="288">
        <f>IF(J$39=0%,"-",IF(J$2=0,"-",'UNITING NSW-ACT'!$B40))</f>
        <v>4.5794753086419752E-3</v>
      </c>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46"/>
    </row>
    <row r="41" spans="1:34" ht="18" customHeight="1" x14ac:dyDescent="0.2">
      <c r="A41" s="86" t="str">
        <f>REPORT!AH4</f>
        <v>ASSESSOR RATING (0-10)</v>
      </c>
      <c r="B41" s="34">
        <f>IF($C$2=0,"-",AVERAGE(D41:K41))</f>
        <v>4.7619047619047619</v>
      </c>
      <c r="C41" s="215" t="s">
        <v>1</v>
      </c>
      <c r="D41" s="218">
        <f>IF(D$39=0%,"-",IF(D$2=0,"-",BENETAS!$B41))</f>
        <v>4.666666666666667</v>
      </c>
      <c r="E41" s="218">
        <f>IF(E$39=0%,"-",IF(E$2=0,"-",'BLUE CARE'!$B41))</f>
        <v>5</v>
      </c>
      <c r="F41" s="218">
        <f>IF(F$39=0%,"-",IF(F$2=0,"-",'BOLTON CLARKE'!$B41))</f>
        <v>3.6666666666666665</v>
      </c>
      <c r="G41" s="218">
        <f>IF(G$39=0%,"-",IF(G$2=0,"-",HAMMONDCARE!$B41))</f>
        <v>5.666666666666667</v>
      </c>
      <c r="H41" s="218">
        <f>IF(H$39=0%,"-",IF(H$2=0,"-",'SILVER CHAIN'!$B41))</f>
        <v>5</v>
      </c>
      <c r="I41" s="218">
        <f>IF(I$39=0%,"-",IF(I$2=0,"-",'UNITING AGE WELL'!$B41))</f>
        <v>4</v>
      </c>
      <c r="J41" s="218">
        <f>IF(J$39=0%,"-",IF(J$2=0,"-",'UNITING NSW-ACT'!$B41))</f>
        <v>5.333333333333333</v>
      </c>
      <c r="K41" s="218"/>
      <c r="L41" s="218"/>
      <c r="M41" s="218"/>
      <c r="N41" s="218"/>
      <c r="O41" s="218"/>
      <c r="P41" s="218"/>
      <c r="Q41" s="218"/>
      <c r="R41" s="218"/>
      <c r="S41" s="218"/>
      <c r="T41" s="218"/>
      <c r="U41" s="218"/>
      <c r="V41" s="218"/>
      <c r="W41" s="218"/>
      <c r="X41" s="218"/>
      <c r="Y41" s="218"/>
      <c r="Z41" s="218"/>
      <c r="AA41" s="218"/>
      <c r="AB41" s="218"/>
      <c r="AC41" s="218"/>
      <c r="AD41" s="218"/>
      <c r="AE41" s="218"/>
      <c r="AF41" s="218"/>
    </row>
    <row r="42" spans="1:34" ht="18" customHeight="1" x14ac:dyDescent="0.2">
      <c r="A42" s="86" t="str">
        <f>REPORT!AI4</f>
        <v>EXPLAINED KEY FEATURES</v>
      </c>
      <c r="B42" s="3">
        <f>IF($C$2=0,"-",AVERAGE(D42:K42))</f>
        <v>9.5238095238095233E-2</v>
      </c>
      <c r="C42" s="216" t="s">
        <v>1</v>
      </c>
      <c r="D42" s="219">
        <f>IF(D$39=0%,"-",IF(D$2=0,"-",BENETAS!$B42))</f>
        <v>0.33333333333333331</v>
      </c>
      <c r="E42" s="219">
        <f>IF(E$39=0%,"-",IF(E$2=0,"-",'BLUE CARE'!$B42))</f>
        <v>0</v>
      </c>
      <c r="F42" s="219">
        <f>IF(F$39=0%,"-",IF(F$2=0,"-",'BOLTON CLARKE'!$B42))</f>
        <v>0</v>
      </c>
      <c r="G42" s="219">
        <f>IF(G$39=0%,"-",IF(G$2=0,"-",HAMMONDCARE!$B42))</f>
        <v>0</v>
      </c>
      <c r="H42" s="219">
        <f>IF(H$39=0%,"-",IF(H$2=0,"-",'SILVER CHAIN'!$B42))</f>
        <v>0</v>
      </c>
      <c r="I42" s="219">
        <f>IF(I$39=0%,"-",IF(I$2=0,"-",'UNITING AGE WELL'!$B42))</f>
        <v>0</v>
      </c>
      <c r="J42" s="219">
        <f>IF(J$39=0%,"-",IF(J$2=0,"-",'UNITING NSW-ACT'!$B42))</f>
        <v>0.33333333333333331</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20"/>
    </row>
    <row r="43" spans="1:34" ht="18" customHeight="1" x14ac:dyDescent="0.2">
      <c r="A43" s="86" t="str">
        <f>REPORT!AJ4</f>
        <v>REVEALED PRICING</v>
      </c>
      <c r="B43" s="3">
        <f>IF($C$2=0,"-",AVERAGE(D43:K43))</f>
        <v>0.19047619047619047</v>
      </c>
      <c r="C43" s="215" t="s">
        <v>1</v>
      </c>
      <c r="D43" s="204">
        <f>IF(D$39=0%,"-",IF(D$2=0,"-",BENETAS!$B43))</f>
        <v>0.33333333333333331</v>
      </c>
      <c r="E43" s="204">
        <f>IF(E$39=0%,"-",IF(E$2=0,"-",'BLUE CARE'!$B43))</f>
        <v>0.33333333333333331</v>
      </c>
      <c r="F43" s="204">
        <f>IF(F$39=0%,"-",IF(F$2=0,"-",'BOLTON CLARKE'!$B43))</f>
        <v>0</v>
      </c>
      <c r="G43" s="204">
        <f>IF(G$39=0%,"-",IF(G$2=0,"-",HAMMONDCARE!$B43))</f>
        <v>0</v>
      </c>
      <c r="H43" s="204">
        <f>IF(H$39=0%,"-",IF(H$2=0,"-",'SILVER CHAIN'!$B43))</f>
        <v>0</v>
      </c>
      <c r="I43" s="204">
        <f>IF(I$39=0%,"-",IF(I$2=0,"-",'UNITING AGE WELL'!$B43))</f>
        <v>0</v>
      </c>
      <c r="J43" s="204">
        <f>IF(J$39=0%,"-",IF(J$2=0,"-",'UNITING NSW-ACT'!$B43))</f>
        <v>0.66666666666666663</v>
      </c>
      <c r="K43" s="204"/>
      <c r="L43" s="204"/>
      <c r="M43" s="204"/>
      <c r="N43" s="204"/>
      <c r="O43" s="204"/>
      <c r="P43" s="204"/>
      <c r="Q43" s="204"/>
      <c r="R43" s="204"/>
      <c r="S43" s="204"/>
      <c r="T43" s="204"/>
      <c r="U43" s="204"/>
      <c r="V43" s="204"/>
      <c r="W43" s="204"/>
      <c r="X43" s="204"/>
      <c r="Y43" s="204"/>
      <c r="Z43" s="204"/>
      <c r="AA43" s="204"/>
      <c r="AB43" s="204"/>
      <c r="AC43" s="204"/>
      <c r="AD43" s="204"/>
      <c r="AE43" s="204"/>
      <c r="AF43" s="204"/>
    </row>
    <row r="44" spans="1:34" ht="18" customHeight="1" x14ac:dyDescent="0.2">
      <c r="A44" s="86" t="str">
        <f>REPORT!AK4</f>
        <v>EXPLAINED ACTIONS &amp; PROCESS</v>
      </c>
      <c r="B44" s="3">
        <f>IF($C$2=0,"-",AVERAGE(D44:K44))</f>
        <v>0.8571428571428571</v>
      </c>
      <c r="C44" s="216" t="s">
        <v>1</v>
      </c>
      <c r="D44" s="219">
        <f>IF(D$39=0%,"-",IF(D$2=0,"-",BENETAS!$B44))</f>
        <v>1</v>
      </c>
      <c r="E44" s="219">
        <f>IF(E$39=0%,"-",IF(E$2=0,"-",'BLUE CARE'!$B44))</f>
        <v>1</v>
      </c>
      <c r="F44" s="219">
        <f>IF(F$39=0%,"-",IF(F$2=0,"-",'BOLTON CLARKE'!$B44))</f>
        <v>0.66666666666666663</v>
      </c>
      <c r="G44" s="219">
        <f>IF(G$39=0%,"-",IF(G$2=0,"-",HAMMONDCARE!$B44))</f>
        <v>1</v>
      </c>
      <c r="H44" s="219">
        <f>IF(H$39=0%,"-",IF(H$2=0,"-",'SILVER CHAIN'!$B44))</f>
        <v>0.33333333333333331</v>
      </c>
      <c r="I44" s="219">
        <f>IF(I$39=0%,"-",IF(I$2=0,"-",'UNITING AGE WELL'!$B44))</f>
        <v>1</v>
      </c>
      <c r="J44" s="219">
        <f>IF(J$39=0%,"-",IF(J$2=0,"-",'UNITING NSW-ACT'!$B44))</f>
        <v>1</v>
      </c>
      <c r="K44" s="219"/>
      <c r="L44" s="219"/>
      <c r="M44" s="219"/>
      <c r="N44" s="219"/>
      <c r="O44" s="219"/>
      <c r="P44" s="219"/>
      <c r="Q44" s="219"/>
      <c r="R44" s="219"/>
      <c r="S44" s="219"/>
      <c r="T44" s="219"/>
      <c r="U44" s="219"/>
      <c r="V44" s="219"/>
      <c r="W44" s="219"/>
      <c r="X44" s="219"/>
      <c r="Y44" s="219"/>
      <c r="Z44" s="219"/>
      <c r="AA44" s="219"/>
      <c r="AB44" s="219"/>
      <c r="AC44" s="219"/>
      <c r="AD44" s="219"/>
      <c r="AE44" s="219"/>
      <c r="AF44" s="219"/>
    </row>
    <row r="45" spans="1:34" ht="18" customHeight="1" x14ac:dyDescent="0.2">
      <c r="A45" s="86" t="str">
        <f>REPORT!AL4</f>
        <v>WEBSITE EDUCATION</v>
      </c>
      <c r="B45" s="3">
        <f>IF($C$2=0,"-",AVERAGE(D45:K45))</f>
        <v>0</v>
      </c>
      <c r="C45" s="215" t="s">
        <v>1</v>
      </c>
      <c r="D45" s="204">
        <f>IF(D$39=0%,"-",IF(D$2=0,"-",BENETAS!$B45))</f>
        <v>0</v>
      </c>
      <c r="E45" s="204">
        <f>IF(E$39=0%,"-",IF(E$2=0,"-",'BLUE CARE'!$B45))</f>
        <v>0</v>
      </c>
      <c r="F45" s="204">
        <f>IF(F$39=0%,"-",IF(F$2=0,"-",'BOLTON CLARKE'!$B45))</f>
        <v>0</v>
      </c>
      <c r="G45" s="204">
        <f>IF(G$39=0%,"-",IF(G$2=0,"-",HAMMONDCARE!$B45))</f>
        <v>0</v>
      </c>
      <c r="H45" s="204">
        <f>IF(H$39=0%,"-",IF(H$2=0,"-",'SILVER CHAIN'!$B45))</f>
        <v>0</v>
      </c>
      <c r="I45" s="204">
        <f>IF(I$39=0%,"-",IF(I$2=0,"-",'UNITING AGE WELL'!$B45))</f>
        <v>0</v>
      </c>
      <c r="J45" s="204">
        <f>IF(J$39=0%,"-",IF(J$2=0,"-",'UNITING NSW-ACT'!$B45))</f>
        <v>0</v>
      </c>
      <c r="K45" s="204"/>
      <c r="L45" s="204"/>
      <c r="M45" s="204"/>
      <c r="N45" s="204"/>
      <c r="O45" s="204"/>
      <c r="P45" s="204"/>
      <c r="Q45" s="204"/>
      <c r="R45" s="204"/>
      <c r="S45" s="204"/>
      <c r="T45" s="204"/>
      <c r="U45" s="204"/>
      <c r="V45" s="204"/>
      <c r="W45" s="204"/>
      <c r="X45" s="204"/>
      <c r="Y45" s="204"/>
      <c r="Z45" s="204"/>
      <c r="AA45" s="204"/>
      <c r="AB45" s="204"/>
      <c r="AC45" s="204"/>
      <c r="AD45" s="204"/>
      <c r="AE45" s="204"/>
      <c r="AF45" s="204"/>
      <c r="AH45" t="s">
        <v>1</v>
      </c>
    </row>
    <row r="46" spans="1:34"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row>
    <row r="47" spans="1:34" ht="18" customHeight="1" x14ac:dyDescent="0.2">
      <c r="A47" s="221" t="s">
        <v>58</v>
      </c>
      <c r="B47" s="222"/>
      <c r="C47" s="87" t="s">
        <v>1</v>
      </c>
      <c r="D47" s="223" t="str">
        <f t="shared" ref="D47:K47" si="2">D1</f>
        <v>BENETAS</v>
      </c>
      <c r="E47" s="223" t="str">
        <f t="shared" si="2"/>
        <v>BLUE CARE</v>
      </c>
      <c r="F47" s="223" t="str">
        <f t="shared" ref="F47:J47" si="3">F1</f>
        <v>BOLTON CLARKE</v>
      </c>
      <c r="G47" s="223" t="str">
        <f t="shared" si="3"/>
        <v>HAMMONDCARE</v>
      </c>
      <c r="H47" s="223" t="str">
        <f t="shared" si="3"/>
        <v>SILVER CHAIN</v>
      </c>
      <c r="I47" s="223" t="str">
        <f t="shared" si="3"/>
        <v>UNITING AGE WELL</v>
      </c>
      <c r="J47" s="223" t="str">
        <f t="shared" si="3"/>
        <v>UNITING NSW.ACT</v>
      </c>
      <c r="K47" s="223" t="str">
        <f t="shared" si="2"/>
        <v>AGED CARE 9</v>
      </c>
      <c r="L47" s="223" t="str">
        <f t="shared" ref="L47:AF47" si="4">L1</f>
        <v>AGED CARE 10</v>
      </c>
      <c r="M47" s="223" t="str">
        <f t="shared" si="4"/>
        <v>AGED CARE 11</v>
      </c>
      <c r="N47" s="223" t="str">
        <f t="shared" si="4"/>
        <v>AGED CARE 12</v>
      </c>
      <c r="O47" s="223" t="str">
        <f t="shared" si="4"/>
        <v>AGED CARE 13</v>
      </c>
      <c r="P47" s="223" t="str">
        <f t="shared" si="4"/>
        <v>AGED CARE 14</v>
      </c>
      <c r="Q47" s="223" t="str">
        <f t="shared" si="4"/>
        <v>AGED CARE 15</v>
      </c>
      <c r="R47" s="223" t="str">
        <f t="shared" si="4"/>
        <v>AGED CARE 16</v>
      </c>
      <c r="S47" s="223" t="str">
        <f t="shared" si="4"/>
        <v>AGED CARE 17</v>
      </c>
      <c r="T47" s="223" t="str">
        <f t="shared" si="4"/>
        <v>AGED CARE 18</v>
      </c>
      <c r="U47" s="223" t="str">
        <f t="shared" si="4"/>
        <v>AGED CARE 19</v>
      </c>
      <c r="V47" s="223" t="str">
        <f t="shared" si="4"/>
        <v>AGED CARE 20</v>
      </c>
      <c r="W47" s="223" t="str">
        <f t="shared" si="4"/>
        <v>AGED CARE 21</v>
      </c>
      <c r="X47" s="223" t="str">
        <f t="shared" si="4"/>
        <v>AGED CARE 22</v>
      </c>
      <c r="Y47" s="223" t="str">
        <f t="shared" si="4"/>
        <v>AGED CARE 23</v>
      </c>
      <c r="Z47" s="223" t="str">
        <f t="shared" si="4"/>
        <v>AGED CARE 24</v>
      </c>
      <c r="AA47" s="223"/>
      <c r="AB47" s="223"/>
      <c r="AC47" s="223"/>
      <c r="AD47" s="223" t="str">
        <f t="shared" si="4"/>
        <v>AGED CARE 28</v>
      </c>
      <c r="AE47" s="223" t="str">
        <f t="shared" si="4"/>
        <v>AGED CARE 29</v>
      </c>
      <c r="AF47" s="223" t="str">
        <f t="shared" si="4"/>
        <v>AGED CARE 30</v>
      </c>
    </row>
    <row r="48" spans="1:34" ht="21" x14ac:dyDescent="0.2">
      <c r="A48" s="88" t="s">
        <v>59</v>
      </c>
      <c r="B48" s="224">
        <f>IF(B51="-","-",AVERAGE(D48:K48))</f>
        <v>0.60585657596371878</v>
      </c>
      <c r="C48" s="225" t="s">
        <v>1</v>
      </c>
      <c r="D48" s="89">
        <f t="shared" ref="D48:E48" si="5">IF(D51="-","-",IF(D$67&lt;0%,0%,D$67))</f>
        <v>0.52286507936507931</v>
      </c>
      <c r="E48" s="89">
        <f t="shared" si="5"/>
        <v>0.61345039682539682</v>
      </c>
      <c r="F48" s="89">
        <f t="shared" ref="F48:J48" si="6">IF(F51="-","-",IF(F$67&lt;0%,0%,F$67))</f>
        <v>0.56544444444444442</v>
      </c>
      <c r="G48" s="89">
        <f t="shared" si="6"/>
        <v>0.64930555555555558</v>
      </c>
      <c r="H48" s="89">
        <f t="shared" si="6"/>
        <v>0.66270833333333323</v>
      </c>
      <c r="I48" s="89">
        <f t="shared" si="6"/>
        <v>0.55326388888888889</v>
      </c>
      <c r="J48" s="89">
        <f t="shared" si="6"/>
        <v>0.67395833333333344</v>
      </c>
      <c r="K48" s="111"/>
      <c r="L48" s="111"/>
      <c r="M48" s="111"/>
      <c r="N48" s="111"/>
      <c r="O48" s="111"/>
      <c r="P48" s="111"/>
      <c r="Q48" s="111"/>
      <c r="R48" s="111"/>
      <c r="S48" s="111"/>
      <c r="T48" s="111"/>
      <c r="U48" s="111"/>
      <c r="V48" s="111"/>
      <c r="W48" s="111"/>
      <c r="X48" s="111"/>
      <c r="Y48" s="111"/>
      <c r="Z48" s="111"/>
      <c r="AA48" s="111"/>
      <c r="AB48" s="111"/>
      <c r="AC48" s="111"/>
      <c r="AD48" s="111"/>
      <c r="AE48" s="111"/>
      <c r="AF48" s="111"/>
    </row>
    <row r="49" spans="1:32" ht="19" x14ac:dyDescent="0.2">
      <c r="A49" s="226" t="s">
        <v>1</v>
      </c>
      <c r="B49" s="227" t="s">
        <v>1</v>
      </c>
      <c r="C49" s="228"/>
      <c r="D49" s="228"/>
      <c r="E49" s="228"/>
      <c r="F49" s="228"/>
      <c r="G49" s="228"/>
      <c r="H49" s="228"/>
      <c r="I49" s="228"/>
      <c r="J49" s="228"/>
      <c r="K49" s="111"/>
      <c r="L49" s="111"/>
      <c r="M49" s="111"/>
      <c r="N49" s="111"/>
      <c r="O49" s="111"/>
      <c r="P49" s="111"/>
      <c r="Q49" s="111"/>
      <c r="R49" s="111"/>
      <c r="S49" s="111"/>
      <c r="T49" s="111"/>
      <c r="U49" s="111"/>
      <c r="V49" s="111"/>
      <c r="W49" s="111"/>
      <c r="X49" s="111"/>
      <c r="Y49" s="111"/>
      <c r="Z49" s="111"/>
      <c r="AA49" s="111"/>
      <c r="AB49" s="111"/>
      <c r="AC49" s="111"/>
      <c r="AD49" s="111"/>
      <c r="AE49" s="111"/>
      <c r="AF49" s="111"/>
    </row>
    <row r="50" spans="1:32" ht="19" x14ac:dyDescent="0.2">
      <c r="A50" s="226"/>
      <c r="B50" s="229" t="s">
        <v>1</v>
      </c>
      <c r="C50" s="230" t="s">
        <v>60</v>
      </c>
      <c r="D50" s="228"/>
      <c r="E50" s="228"/>
      <c r="F50" s="228"/>
      <c r="G50" s="228"/>
      <c r="H50" s="228"/>
      <c r="I50" s="228"/>
      <c r="J50" s="228"/>
      <c r="K50" s="111"/>
      <c r="L50" s="111"/>
      <c r="M50" s="111"/>
      <c r="N50" s="111"/>
      <c r="O50" s="111"/>
      <c r="P50" s="111"/>
      <c r="Q50" s="111"/>
      <c r="R50" s="111"/>
      <c r="S50" s="111"/>
      <c r="T50" s="111"/>
      <c r="U50" s="111"/>
      <c r="V50" s="111"/>
      <c r="W50" s="111"/>
      <c r="X50" s="111"/>
      <c r="Y50" s="111"/>
      <c r="Z50" s="111"/>
      <c r="AA50" s="111"/>
      <c r="AB50" s="111"/>
      <c r="AC50" s="111"/>
      <c r="AD50" s="111"/>
      <c r="AE50" s="111"/>
      <c r="AF50" s="111"/>
    </row>
    <row r="51" spans="1:32" x14ac:dyDescent="0.2">
      <c r="A51" s="91" t="s">
        <v>61</v>
      </c>
      <c r="B51" s="92">
        <f>IF(D51="-","-",AVERAGE(D51:K51))</f>
        <v>0.83017006802721094</v>
      </c>
      <c r="C51" s="93">
        <v>0.3</v>
      </c>
      <c r="D51" s="274">
        <f>[1]OVERALL!D$4</f>
        <v>0.66047619047619055</v>
      </c>
      <c r="E51" s="274">
        <f>[1]OVERALL!E$4</f>
        <v>0.74529761904761893</v>
      </c>
      <c r="F51" s="274">
        <f>[1]OVERALL!F$4</f>
        <v>0.83805555555555555</v>
      </c>
      <c r="G51" s="274">
        <f>[1]OVERALL!G$4</f>
        <v>0.77083333333333337</v>
      </c>
      <c r="H51" s="274">
        <f>[1]OVERALL!H$4</f>
        <v>0.94513888888888886</v>
      </c>
      <c r="I51" s="274">
        <f>[1]OVERALL!I$4</f>
        <v>0.92708333333333337</v>
      </c>
      <c r="J51" s="274">
        <f>[1]OVERALL!J$4</f>
        <v>0.9243055555555556</v>
      </c>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2" x14ac:dyDescent="0.2">
      <c r="A52" s="95" t="s">
        <v>62</v>
      </c>
      <c r="B52" s="96">
        <f>IF($C$2=0,"-",AVERAGE(D52:K52))</f>
        <v>0.50972222222222219</v>
      </c>
      <c r="C52" s="93">
        <v>0.7</v>
      </c>
      <c r="D52" s="94">
        <f t="shared" ref="D52:E52" si="7">D4</f>
        <v>0.46388888888888885</v>
      </c>
      <c r="E52" s="94">
        <f t="shared" si="7"/>
        <v>0.55694444444444446</v>
      </c>
      <c r="F52" s="94">
        <f t="shared" ref="F52:J52" si="8">F4</f>
        <v>0.44861111111111113</v>
      </c>
      <c r="G52" s="94">
        <f t="shared" si="8"/>
        <v>0.59722222222222221</v>
      </c>
      <c r="H52" s="94">
        <f t="shared" si="8"/>
        <v>0.54166666666666663</v>
      </c>
      <c r="I52" s="94">
        <f t="shared" si="8"/>
        <v>0.39305555555555555</v>
      </c>
      <c r="J52" s="94">
        <f t="shared" si="8"/>
        <v>0.56666666666666676</v>
      </c>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2" x14ac:dyDescent="0.2">
      <c r="A53" s="232" t="s">
        <v>1</v>
      </c>
      <c r="B53" s="231"/>
      <c r="C53" s="233"/>
      <c r="D53" s="231"/>
      <c r="E53" s="231"/>
      <c r="F53" s="231"/>
      <c r="G53" s="231"/>
      <c r="H53" s="231"/>
      <c r="I53" s="231"/>
      <c r="J53" s="23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2" x14ac:dyDescent="0.2">
      <c r="A54" s="234" t="s">
        <v>63</v>
      </c>
      <c r="B54" s="111"/>
      <c r="C54" s="235"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2" x14ac:dyDescent="0.2">
      <c r="A55" s="91" t="str">
        <f>A51</f>
        <v>ACCESS</v>
      </c>
      <c r="B55" s="92">
        <f>IF(B51="-","-",B51*$C$51)</f>
        <v>0.24905102040816327</v>
      </c>
      <c r="C55" s="241"/>
      <c r="D55" s="97">
        <f t="shared" ref="D55:E55" si="9">IF(D51="-","-",D51*$C$51)</f>
        <v>0.19814285714285715</v>
      </c>
      <c r="E55" s="97">
        <f t="shared" si="9"/>
        <v>0.22358928571428568</v>
      </c>
      <c r="F55" s="97">
        <f t="shared" ref="F55:J55" si="10">IF(F51="-","-",F51*$C$51)</f>
        <v>0.25141666666666668</v>
      </c>
      <c r="G55" s="97">
        <f t="shared" si="10"/>
        <v>0.23125000000000001</v>
      </c>
      <c r="H55" s="97">
        <f t="shared" si="10"/>
        <v>0.28354166666666664</v>
      </c>
      <c r="I55" s="97">
        <f t="shared" si="10"/>
        <v>0.27812500000000001</v>
      </c>
      <c r="J55" s="97">
        <f t="shared" si="10"/>
        <v>0.27729166666666666</v>
      </c>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2" x14ac:dyDescent="0.2">
      <c r="A56" s="95" t="str">
        <f>A52</f>
        <v>QUALITY</v>
      </c>
      <c r="B56" s="96">
        <f>IF($C$2=0,"-",B52*$C$52)</f>
        <v>0.35680555555555549</v>
      </c>
      <c r="C56" s="241"/>
      <c r="D56" s="98">
        <f t="shared" ref="D56:E56" si="11">IF(D52="-","-",D52*$C$52)</f>
        <v>0.32472222222222219</v>
      </c>
      <c r="E56" s="98">
        <f t="shared" si="11"/>
        <v>0.3898611111111111</v>
      </c>
      <c r="F56" s="98">
        <f t="shared" ref="F56:J56" si="12">IF(F52="-","-",F52*$C$52)</f>
        <v>0.31402777777777779</v>
      </c>
      <c r="G56" s="98">
        <f t="shared" si="12"/>
        <v>0.41805555555555551</v>
      </c>
      <c r="H56" s="98">
        <f t="shared" si="12"/>
        <v>0.3791666666666666</v>
      </c>
      <c r="I56" s="98">
        <f t="shared" si="12"/>
        <v>0.27513888888888888</v>
      </c>
      <c r="J56" s="98">
        <f t="shared" si="12"/>
        <v>0.39666666666666672</v>
      </c>
      <c r="K56" s="111"/>
      <c r="L56" s="111"/>
      <c r="M56" s="111"/>
      <c r="N56" s="111"/>
      <c r="O56" s="111"/>
      <c r="P56" s="111"/>
      <c r="Q56" s="111"/>
      <c r="R56" s="111"/>
      <c r="S56" s="111"/>
      <c r="T56" s="111"/>
      <c r="U56" s="111"/>
      <c r="V56" s="111"/>
      <c r="W56" s="111"/>
      <c r="X56" s="111"/>
      <c r="Y56" s="111"/>
      <c r="Z56" s="111"/>
      <c r="AA56" s="111"/>
      <c r="AB56" s="111"/>
      <c r="AC56" s="111"/>
      <c r="AD56" s="111"/>
      <c r="AE56" s="111"/>
      <c r="AF56" s="111"/>
    </row>
    <row r="57" spans="1:32" ht="19" x14ac:dyDescent="0.25">
      <c r="A57" s="99" t="s">
        <v>64</v>
      </c>
      <c r="B57" s="100">
        <f>IF(B51="-","-",AVERAGE(D57:K57))</f>
        <v>0.60585657596371878</v>
      </c>
      <c r="C57" s="236" t="s">
        <v>1</v>
      </c>
      <c r="D57" s="100">
        <f t="shared" ref="D57:E57" si="13">IF(D51="-","-",SUM(D55:D56))</f>
        <v>0.52286507936507931</v>
      </c>
      <c r="E57" s="100">
        <f t="shared" si="13"/>
        <v>0.61345039682539682</v>
      </c>
      <c r="F57" s="100">
        <f t="shared" ref="F57:J57" si="14">IF(F51="-","-",SUM(F55:F56))</f>
        <v>0.56544444444444442</v>
      </c>
      <c r="G57" s="100">
        <f t="shared" si="14"/>
        <v>0.64930555555555558</v>
      </c>
      <c r="H57" s="100">
        <f t="shared" si="14"/>
        <v>0.66270833333333323</v>
      </c>
      <c r="I57" s="100">
        <f t="shared" si="14"/>
        <v>0.55326388888888889</v>
      </c>
      <c r="J57" s="100">
        <f t="shared" si="14"/>
        <v>0.67395833333333344</v>
      </c>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2" x14ac:dyDescent="0.2">
      <c r="A58" s="111"/>
      <c r="B58" s="111"/>
      <c r="C58" s="111"/>
      <c r="D58" s="237" t="s">
        <v>1</v>
      </c>
      <c r="E58" s="237" t="s">
        <v>1</v>
      </c>
      <c r="F58" s="237" t="s">
        <v>1</v>
      </c>
      <c r="G58" s="237" t="s">
        <v>1</v>
      </c>
      <c r="H58" s="237" t="s">
        <v>1</v>
      </c>
      <c r="I58" s="237" t="s">
        <v>1</v>
      </c>
      <c r="J58" s="237"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row>
    <row r="59" spans="1:32" x14ac:dyDescent="0.2">
      <c r="A59" s="101" t="s">
        <v>65</v>
      </c>
      <c r="B59" s="246">
        <f>IF(B51="-","-",AVERAGE(D59:K59))</f>
        <v>1</v>
      </c>
      <c r="C59" s="255"/>
      <c r="D59" s="102">
        <f t="shared" ref="D59:E59" si="15">D39</f>
        <v>1</v>
      </c>
      <c r="E59" s="102">
        <f t="shared" si="15"/>
        <v>1</v>
      </c>
      <c r="F59" s="102">
        <f t="shared" ref="F59:J59" si="16">F39</f>
        <v>1</v>
      </c>
      <c r="G59" s="102">
        <f t="shared" si="16"/>
        <v>1</v>
      </c>
      <c r="H59" s="102">
        <f t="shared" si="16"/>
        <v>1</v>
      </c>
      <c r="I59" s="102">
        <f t="shared" si="16"/>
        <v>1</v>
      </c>
      <c r="J59" s="102">
        <f t="shared" si="16"/>
        <v>1</v>
      </c>
      <c r="K59" s="111"/>
      <c r="L59" s="111"/>
      <c r="M59" s="111"/>
      <c r="N59" s="111"/>
      <c r="O59" s="111"/>
      <c r="P59" s="111"/>
      <c r="Q59" s="111"/>
      <c r="R59" s="111"/>
      <c r="S59" s="111"/>
      <c r="T59" s="111"/>
      <c r="U59" s="111"/>
      <c r="V59" s="111"/>
      <c r="W59" s="111"/>
      <c r="X59" s="111"/>
      <c r="Y59" s="111"/>
      <c r="Z59" s="111"/>
      <c r="AA59" s="111"/>
      <c r="AB59" s="111"/>
      <c r="AC59" s="111"/>
      <c r="AD59" s="111"/>
      <c r="AE59" s="111"/>
      <c r="AF59" s="111"/>
    </row>
    <row r="60" spans="1:32" x14ac:dyDescent="0.2">
      <c r="A60" s="103" t="s">
        <v>66</v>
      </c>
      <c r="B60" s="344" t="s">
        <v>1</v>
      </c>
      <c r="C60" s="345"/>
      <c r="D60" s="104">
        <f t="shared" ref="D60:E60" si="17">IF(D51="-","-",SUM(D63:D66))</f>
        <v>0</v>
      </c>
      <c r="E60" s="104">
        <f t="shared" si="17"/>
        <v>0</v>
      </c>
      <c r="F60" s="104">
        <f t="shared" ref="F60:J60" si="18">IF(F51="-","-",SUM(F63:F66))</f>
        <v>0</v>
      </c>
      <c r="G60" s="104">
        <f t="shared" si="18"/>
        <v>0</v>
      </c>
      <c r="H60" s="104">
        <f t="shared" si="18"/>
        <v>0</v>
      </c>
      <c r="I60" s="104">
        <f t="shared" si="18"/>
        <v>0</v>
      </c>
      <c r="J60" s="104">
        <f t="shared" si="18"/>
        <v>0</v>
      </c>
      <c r="K60" s="111"/>
      <c r="L60" s="111"/>
      <c r="M60" s="111"/>
      <c r="N60" s="111"/>
      <c r="O60" s="111"/>
      <c r="P60" s="111"/>
      <c r="Q60" s="111"/>
      <c r="R60" s="111"/>
      <c r="S60" s="111"/>
      <c r="T60" s="111"/>
      <c r="U60" s="111"/>
      <c r="V60" s="111"/>
      <c r="W60" s="111"/>
      <c r="X60" s="111"/>
      <c r="Y60" s="111"/>
      <c r="Z60" s="111"/>
      <c r="AA60" s="111"/>
      <c r="AB60" s="111"/>
      <c r="AC60" s="111"/>
      <c r="AD60" s="111"/>
      <c r="AE60" s="111"/>
      <c r="AF60" s="111"/>
    </row>
    <row r="61" spans="1:32" x14ac:dyDescent="0.2">
      <c r="A61" s="238"/>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row>
    <row r="62" spans="1:32" ht="19" x14ac:dyDescent="0.25">
      <c r="A62" s="239" t="s">
        <v>66</v>
      </c>
      <c r="B62" s="240"/>
      <c r="C62" s="118"/>
      <c r="D62" s="241"/>
      <c r="E62" s="241"/>
      <c r="F62" s="241"/>
      <c r="G62" s="241"/>
      <c r="H62" s="241"/>
      <c r="I62" s="241"/>
      <c r="J62" s="241"/>
      <c r="K62" s="111"/>
      <c r="L62" s="111"/>
      <c r="M62" s="111"/>
      <c r="N62" s="111"/>
      <c r="O62" s="111"/>
      <c r="P62" s="111"/>
      <c r="Q62" s="111"/>
      <c r="R62" s="111"/>
      <c r="S62" s="111"/>
      <c r="T62" s="111"/>
      <c r="U62" s="111"/>
      <c r="V62" s="111"/>
      <c r="W62" s="111"/>
      <c r="X62" s="111"/>
      <c r="Y62" s="111"/>
      <c r="Z62" s="111"/>
      <c r="AA62" s="111"/>
      <c r="AB62" s="111"/>
      <c r="AC62" s="111"/>
      <c r="AD62" s="111"/>
      <c r="AE62" s="111"/>
      <c r="AF62" s="111"/>
    </row>
    <row r="63" spans="1:32" x14ac:dyDescent="0.2">
      <c r="A63" s="105" t="s">
        <v>67</v>
      </c>
      <c r="B63" s="106">
        <v>0</v>
      </c>
      <c r="C63" s="219"/>
      <c r="D63" s="258">
        <f t="shared" ref="D63:E63" si="19">IF(D59&gt;75%, $B$63, "-")</f>
        <v>0</v>
      </c>
      <c r="E63" s="258">
        <f t="shared" si="19"/>
        <v>0</v>
      </c>
      <c r="F63" s="258">
        <f t="shared" ref="F63:J63" si="20">IF(F59&gt;75%, $B$63, "-")</f>
        <v>0</v>
      </c>
      <c r="G63" s="258">
        <f t="shared" si="20"/>
        <v>0</v>
      </c>
      <c r="H63" s="258">
        <f t="shared" si="20"/>
        <v>0</v>
      </c>
      <c r="I63" s="258">
        <f t="shared" si="20"/>
        <v>0</v>
      </c>
      <c r="J63" s="258">
        <f t="shared" si="20"/>
        <v>0</v>
      </c>
      <c r="K63" s="111"/>
      <c r="L63" s="111"/>
      <c r="M63" s="111"/>
      <c r="N63" s="111"/>
      <c r="O63" s="111"/>
      <c r="P63" s="111"/>
      <c r="Q63" s="111"/>
      <c r="R63" s="111"/>
      <c r="S63" s="111"/>
      <c r="T63" s="111"/>
      <c r="U63" s="111"/>
      <c r="V63" s="111"/>
      <c r="W63" s="111"/>
      <c r="X63" s="111"/>
      <c r="Y63" s="111"/>
      <c r="Z63" s="111"/>
      <c r="AA63" s="111"/>
      <c r="AB63" s="111"/>
      <c r="AC63" s="111"/>
      <c r="AD63" s="111"/>
      <c r="AE63" s="111"/>
      <c r="AF63" s="111"/>
    </row>
    <row r="64" spans="1:32" x14ac:dyDescent="0.2">
      <c r="A64" s="242" t="s">
        <v>68</v>
      </c>
      <c r="B64" s="106">
        <v>0.1</v>
      </c>
      <c r="C64" s="256"/>
      <c r="D64" s="258" t="str">
        <f t="shared" ref="D64:E64" si="21">IF(D59&gt;50%, IF(D59&lt;=75%, $B$64, "-"), "-")</f>
        <v>-</v>
      </c>
      <c r="E64" s="258" t="str">
        <f t="shared" si="21"/>
        <v>-</v>
      </c>
      <c r="F64" s="258" t="str">
        <f t="shared" ref="F64:J64" si="22">IF(F59&gt;50%, IF(F59&lt;=75%, $B$64, "-"), "-")</f>
        <v>-</v>
      </c>
      <c r="G64" s="258" t="str">
        <f t="shared" si="22"/>
        <v>-</v>
      </c>
      <c r="H64" s="258" t="str">
        <f t="shared" si="22"/>
        <v>-</v>
      </c>
      <c r="I64" s="258" t="str">
        <f t="shared" si="22"/>
        <v>-</v>
      </c>
      <c r="J64" s="258" t="str">
        <f t="shared" si="22"/>
        <v>-</v>
      </c>
      <c r="K64" s="111"/>
      <c r="L64" s="111"/>
      <c r="M64" s="111"/>
      <c r="N64" s="111"/>
      <c r="O64" s="111"/>
      <c r="P64" s="111"/>
      <c r="Q64" s="111"/>
      <c r="R64" s="111"/>
      <c r="S64" s="111"/>
      <c r="T64" s="111"/>
      <c r="U64" s="111"/>
      <c r="V64" s="111"/>
      <c r="W64" s="111"/>
      <c r="X64" s="111"/>
      <c r="Y64" s="111"/>
      <c r="Z64" s="111"/>
      <c r="AA64" s="111"/>
      <c r="AB64" s="111"/>
      <c r="AC64" s="111"/>
      <c r="AD64" s="111"/>
      <c r="AE64" s="111"/>
      <c r="AF64" s="111"/>
    </row>
    <row r="65" spans="1:32" x14ac:dyDescent="0.2">
      <c r="A65" s="242" t="s">
        <v>69</v>
      </c>
      <c r="B65" s="106">
        <v>0.2</v>
      </c>
      <c r="C65" s="256"/>
      <c r="D65" s="258" t="str">
        <f t="shared" ref="D65:E65" si="23">IF(D59&lt;=50%, IF(D59&gt;25%, $B$65, "-"), "-")</f>
        <v>-</v>
      </c>
      <c r="E65" s="258" t="str">
        <f t="shared" si="23"/>
        <v>-</v>
      </c>
      <c r="F65" s="258" t="str">
        <f t="shared" ref="F65:J65" si="24">IF(F59&lt;=50%, IF(F59&gt;25%, $B$65, "-"), "-")</f>
        <v>-</v>
      </c>
      <c r="G65" s="258" t="str">
        <f t="shared" si="24"/>
        <v>-</v>
      </c>
      <c r="H65" s="258" t="str">
        <f t="shared" si="24"/>
        <v>-</v>
      </c>
      <c r="I65" s="258" t="str">
        <f t="shared" si="24"/>
        <v>-</v>
      </c>
      <c r="J65" s="258" t="str">
        <f t="shared" si="24"/>
        <v>-</v>
      </c>
      <c r="K65" s="111"/>
      <c r="L65" s="111"/>
      <c r="M65" s="111"/>
      <c r="N65" s="111"/>
      <c r="O65" s="111"/>
      <c r="P65" s="111"/>
      <c r="Q65" s="111"/>
      <c r="R65" s="111"/>
      <c r="S65" s="111"/>
      <c r="T65" s="111"/>
      <c r="U65" s="111"/>
      <c r="V65" s="111"/>
      <c r="W65" s="111"/>
      <c r="X65" s="111"/>
      <c r="Y65" s="111"/>
      <c r="Z65" s="111"/>
      <c r="AA65" s="111"/>
      <c r="AB65" s="111"/>
      <c r="AC65" s="111"/>
      <c r="AD65" s="111"/>
      <c r="AE65" s="111"/>
      <c r="AF65" s="111"/>
    </row>
    <row r="66" spans="1:32" x14ac:dyDescent="0.2">
      <c r="A66" s="243" t="s">
        <v>70</v>
      </c>
      <c r="B66" s="106">
        <v>0.3</v>
      </c>
      <c r="C66" s="257"/>
      <c r="D66" s="258" t="str">
        <f t="shared" ref="D66:E66" si="25">IF(D59&lt;=25%, $B$66, "-")</f>
        <v>-</v>
      </c>
      <c r="E66" s="258" t="str">
        <f t="shared" si="25"/>
        <v>-</v>
      </c>
      <c r="F66" s="258" t="str">
        <f t="shared" ref="F66:J66" si="26">IF(F59&lt;=25%, $B$66, "-")</f>
        <v>-</v>
      </c>
      <c r="G66" s="258" t="str">
        <f t="shared" si="26"/>
        <v>-</v>
      </c>
      <c r="H66" s="258" t="str">
        <f t="shared" si="26"/>
        <v>-</v>
      </c>
      <c r="I66" s="258" t="str">
        <f t="shared" si="26"/>
        <v>-</v>
      </c>
      <c r="J66" s="258" t="str">
        <f t="shared" si="26"/>
        <v>-</v>
      </c>
      <c r="K66" s="111"/>
      <c r="L66" s="111"/>
      <c r="M66" s="111"/>
      <c r="N66" s="111"/>
      <c r="O66" s="111"/>
      <c r="P66" s="111"/>
      <c r="Q66" s="111"/>
      <c r="R66" s="111"/>
      <c r="S66" s="111"/>
      <c r="T66" s="111"/>
      <c r="U66" s="111"/>
      <c r="V66" s="111"/>
      <c r="W66" s="111"/>
      <c r="X66" s="111"/>
      <c r="Y66" s="111"/>
      <c r="Z66" s="111"/>
      <c r="AA66" s="111"/>
      <c r="AB66" s="111"/>
      <c r="AC66" s="111"/>
      <c r="AD66" s="111"/>
      <c r="AE66" s="111"/>
      <c r="AF66" s="111"/>
    </row>
    <row r="67" spans="1:32" x14ac:dyDescent="0.2">
      <c r="A67" s="111"/>
      <c r="B67" s="111"/>
      <c r="C67" s="111"/>
      <c r="D67" s="107">
        <f t="shared" ref="D67:E67" si="27">IF(D51="-","-",D57-D60)</f>
        <v>0.52286507936507931</v>
      </c>
      <c r="E67" s="107">
        <f t="shared" si="27"/>
        <v>0.61345039682539682</v>
      </c>
      <c r="F67" s="107">
        <f t="shared" ref="F67:J67" si="28">IF(F51="-","-",F57-F60)</f>
        <v>0.56544444444444442</v>
      </c>
      <c r="G67" s="107">
        <f t="shared" si="28"/>
        <v>0.64930555555555558</v>
      </c>
      <c r="H67" s="107">
        <f t="shared" si="28"/>
        <v>0.66270833333333323</v>
      </c>
      <c r="I67" s="107">
        <f t="shared" si="28"/>
        <v>0.55326388888888889</v>
      </c>
      <c r="J67" s="107">
        <f t="shared" si="28"/>
        <v>0.67395833333333344</v>
      </c>
      <c r="K67" s="111"/>
      <c r="L67" s="111"/>
      <c r="M67" s="111"/>
      <c r="N67" s="111"/>
      <c r="O67" s="111"/>
      <c r="P67" s="111"/>
      <c r="Q67" s="111"/>
      <c r="R67" s="111"/>
      <c r="S67" s="111"/>
      <c r="T67" s="111"/>
      <c r="U67" s="111"/>
      <c r="V67" s="111"/>
      <c r="W67" s="111"/>
      <c r="X67" s="111"/>
      <c r="Y67" s="111"/>
      <c r="Z67" s="111"/>
      <c r="AA67" s="111"/>
      <c r="AB67" s="111"/>
      <c r="AC67" s="111"/>
      <c r="AD67" s="111"/>
      <c r="AE67" s="111"/>
      <c r="AF67" s="111"/>
    </row>
    <row r="69" spans="1:32" s="261" customFormat="1" x14ac:dyDescent="0.2">
      <c r="A69" s="111" t="s">
        <v>79</v>
      </c>
      <c r="B69" s="288">
        <f>[1]OVERALL!$B$70</f>
        <v>1.5040784832451501E-3</v>
      </c>
      <c r="C69" s="262"/>
      <c r="D69" s="288">
        <f>[1]OVERALL!D$70</f>
        <v>2.6543209876543207E-3</v>
      </c>
      <c r="E69" s="288">
        <f>[1]OVERALL!E$70</f>
        <v>1.8981481481481482E-3</v>
      </c>
      <c r="F69" s="288">
        <f>[1]OVERALL!F$70</f>
        <v>1.3155864197530863E-3</v>
      </c>
      <c r="G69" s="288">
        <f>[1]OVERALL!G$70</f>
        <v>2.9282407407407412E-3</v>
      </c>
      <c r="H69" s="288">
        <f>[1]OVERALL!H$70</f>
        <v>5.5169753086419752E-4</v>
      </c>
      <c r="I69" s="288">
        <f>[1]OVERALL!I$70</f>
        <v>6.2500000000000001E-4</v>
      </c>
      <c r="J69" s="288">
        <f>[1]OVERALL!J$70</f>
        <v>5.5555555555555556E-4</v>
      </c>
    </row>
    <row r="70" spans="1:32" s="261" customFormat="1" x14ac:dyDescent="0.2">
      <c r="A70" s="262" t="s">
        <v>40</v>
      </c>
      <c r="B70" s="288">
        <f>B40</f>
        <v>2.3589065255731926E-3</v>
      </c>
      <c r="C70" s="262"/>
      <c r="D70" s="288">
        <f t="shared" ref="D70:E70" si="29">D40</f>
        <v>2.7199074074074074E-3</v>
      </c>
      <c r="E70" s="288">
        <f t="shared" si="29"/>
        <v>1.6550925925925926E-3</v>
      </c>
      <c r="F70" s="288">
        <f t="shared" ref="F70:J70" si="30">F40</f>
        <v>2.5462962962962965E-3</v>
      </c>
      <c r="G70" s="288">
        <f t="shared" si="30"/>
        <v>2.2492283950617284E-3</v>
      </c>
      <c r="H70" s="288">
        <f t="shared" si="30"/>
        <v>1.2538580246913582E-3</v>
      </c>
      <c r="I70" s="288">
        <f t="shared" si="30"/>
        <v>1.508487654320988E-3</v>
      </c>
      <c r="J70" s="288">
        <f t="shared" si="30"/>
        <v>4.5794753086419752E-3</v>
      </c>
    </row>
    <row r="71" spans="1:32" s="261" customFormat="1" x14ac:dyDescent="0.2">
      <c r="A71" s="245" t="s">
        <v>78</v>
      </c>
      <c r="B71" s="287">
        <f>IF(B69="-","-",SUM(B69:B70))</f>
        <v>3.862985008818343E-3</v>
      </c>
      <c r="C71" s="262"/>
      <c r="D71" s="287">
        <f t="shared" ref="D71:E71" si="31">IF(D69="-","-",SUM(D69:D70))</f>
        <v>5.3742283950617281E-3</v>
      </c>
      <c r="E71" s="287">
        <f t="shared" si="31"/>
        <v>3.5532407407407405E-3</v>
      </c>
      <c r="F71" s="287">
        <f t="shared" ref="F71:J71" si="32">IF(F69="-","-",SUM(F69:F70))</f>
        <v>3.8618827160493826E-3</v>
      </c>
      <c r="G71" s="287">
        <f t="shared" si="32"/>
        <v>5.1774691358024696E-3</v>
      </c>
      <c r="H71" s="287">
        <f t="shared" si="32"/>
        <v>1.8055555555555557E-3</v>
      </c>
      <c r="I71" s="287">
        <f t="shared" si="32"/>
        <v>2.1334876543209879E-3</v>
      </c>
      <c r="J71" s="287">
        <f t="shared" si="32"/>
        <v>5.1350308641975309E-3</v>
      </c>
    </row>
  </sheetData>
  <sortState xmlns:xlrd2="http://schemas.microsoft.com/office/spreadsheetml/2017/richdata2" ref="AH15:AH20">
    <sortCondition ref="AH15:AH20"/>
  </sortState>
  <mergeCells count="1">
    <mergeCell ref="B60:C60"/>
  </mergeCells>
  <phoneticPr fontId="20" type="noConversion"/>
  <conditionalFormatting sqref="B4 D4:AF4 D12:AF12 D17:AF17 D23:AF23 D28:AF28">
    <cfRule type="containsBlanks" dxfId="88" priority="31">
      <formula>LEN(TRIM(B4))=0</formula>
    </cfRule>
    <cfRule type="cellIs" dxfId="87" priority="32" operator="lessThan">
      <formula>0.45</formula>
    </cfRule>
    <cfRule type="cellIs" dxfId="86" priority="33" operator="greaterThanOrEqual">
      <formula>0.905</formula>
    </cfRule>
    <cfRule type="cellIs" dxfId="85" priority="34" operator="between">
      <formula>0.754999</formula>
      <formula>0.905</formula>
    </cfRule>
    <cfRule type="cellIs" dxfId="84" priority="35" operator="between">
      <formula>0.604999</formula>
      <formula>0.754999</formula>
    </cfRule>
    <cfRule type="cellIs" dxfId="8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0240-DFC7-AB4C-B5BD-25FBBE1B7BB5}">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D51" sqref="D51: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121</v>
      </c>
      <c r="E2" s="300" t="s">
        <v>147</v>
      </c>
      <c r="F2" s="300" t="s">
        <v>135</v>
      </c>
    </row>
    <row r="3" spans="1:8" ht="19" x14ac:dyDescent="0.2">
      <c r="A3" s="32" t="str">
        <f>OVERALL!D1</f>
        <v>BENETAS</v>
      </c>
      <c r="B3" s="244" t="e">
        <f>OVERALL!#REF!</f>
        <v>#REF!</v>
      </c>
      <c r="C3" s="108" t="s">
        <v>71</v>
      </c>
      <c r="D3" s="109">
        <f>IF(D2="-","-",D57)</f>
        <v>0.59245833333333331</v>
      </c>
      <c r="E3" s="109">
        <f t="shared" ref="E3:F3" si="0">IF(E2="-","-",E57)</f>
        <v>0.57141666666666668</v>
      </c>
      <c r="F3" s="109">
        <f t="shared" si="0"/>
        <v>0.40472023809523805</v>
      </c>
    </row>
    <row r="4" spans="1:8" ht="18" customHeight="1" x14ac:dyDescent="0.2">
      <c r="A4" s="17" t="str">
        <f>OVERALL!A4</f>
        <v>AGENT MASTERY SCORE</v>
      </c>
      <c r="B4" s="38">
        <f>IF(C2=0, "-", IF(COUNTIF(D39:F39, "n")=C2, "-", IF(COUNT(D4:F4)=0, "-", AVERAGE(D4:F4))))</f>
        <v>0.46388888888888885</v>
      </c>
      <c r="C4" s="58" t="s">
        <v>1</v>
      </c>
      <c r="D4" s="38">
        <f>IF(D48&lt;0%,0%,IF(D$2="-","-",IF(D$39="n", "-", SUM(D$6,D$12,D$17,D$23,D$28,D$34))))</f>
        <v>0.5083333333333333</v>
      </c>
      <c r="E4" s="38">
        <f t="shared" ref="E4:F4" si="1">IF(E48&lt;0%,0%,IF(E$2="-","-",IF(E$39="n", "-", SUM(E$6,E$12,E$17,E$23,E$28,E$34))))</f>
        <v>0.4916666666666667</v>
      </c>
      <c r="F4" s="38">
        <f t="shared" si="1"/>
        <v>0.39166666666666672</v>
      </c>
      <c r="H4" s="12" t="s">
        <v>8</v>
      </c>
    </row>
    <row r="5" spans="1:8" ht="18" customHeight="1" x14ac:dyDescent="0.25">
      <c r="A5" s="57" t="s">
        <v>46</v>
      </c>
      <c r="B5" s="58">
        <f>IF(B6="-","-",AVERAGE(D5:F5))</f>
        <v>0.46388888888888885</v>
      </c>
      <c r="C5" s="58" t="s">
        <v>1</v>
      </c>
      <c r="D5" s="60">
        <f t="shared" ref="D5:F5" si="2">IF(D$2="","",IF(D$39="n", "", SUM(D$6,D$12,D$17,D$23,D$28)))</f>
        <v>0.5083333333333333</v>
      </c>
      <c r="E5" s="60">
        <f t="shared" si="2"/>
        <v>0.4916666666666667</v>
      </c>
      <c r="F5" s="60">
        <f t="shared" si="2"/>
        <v>0.39166666666666672</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v>
      </c>
      <c r="C7" s="26">
        <f>$C$2-COUNTIF(D7:F7, "-")</f>
        <v>3</v>
      </c>
      <c r="D7" s="296" t="s">
        <v>119</v>
      </c>
      <c r="E7" s="299" t="s">
        <v>119</v>
      </c>
      <c r="F7" s="299" t="s">
        <v>119</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0.66666666666666663</v>
      </c>
      <c r="C9" s="26">
        <f>$C$2-COUNTIF(D9:F9, "-")</f>
        <v>3</v>
      </c>
      <c r="D9" s="296" t="s">
        <v>119</v>
      </c>
      <c r="E9" s="299" t="s">
        <v>120</v>
      </c>
      <c r="F9" s="299" t="s">
        <v>120</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119</v>
      </c>
      <c r="E13" s="299" t="s">
        <v>119</v>
      </c>
      <c r="F13" s="299" t="s">
        <v>119</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0.33333333333333331</v>
      </c>
      <c r="C15" s="26">
        <f>$C$2-COUNTIF(D15:F15, "-")</f>
        <v>3</v>
      </c>
      <c r="D15" s="296" t="s">
        <v>120</v>
      </c>
      <c r="E15" s="299" t="s">
        <v>119</v>
      </c>
      <c r="F15" s="299" t="s">
        <v>119</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0.125</v>
      </c>
      <c r="F17" s="29">
        <f>IF(F22=0,"-",(COUNTIF(F18:F21, "y")/F22)*OVERALL!$C$17)</f>
        <v>0.125</v>
      </c>
      <c r="H17" s="9" t="s">
        <v>6</v>
      </c>
    </row>
    <row r="18" spans="1:11" ht="18" customHeight="1" x14ac:dyDescent="0.2">
      <c r="A18" s="33" t="str">
        <f>OVERALL!A18</f>
        <v>INFORM</v>
      </c>
      <c r="B18" s="3">
        <f>IF(C18=0,"-",COUNTIF(D18:F18,"y")/C18)</f>
        <v>1</v>
      </c>
      <c r="C18" s="26">
        <f>$C$2-COUNTIF(D18:F18, "-")</f>
        <v>3</v>
      </c>
      <c r="D18" s="296" t="s">
        <v>120</v>
      </c>
      <c r="E18" s="299" t="s">
        <v>120</v>
      </c>
      <c r="F18" s="299" t="s">
        <v>120</v>
      </c>
    </row>
    <row r="19" spans="1:11" ht="18" customHeight="1" x14ac:dyDescent="0.2">
      <c r="A19" s="33" t="str">
        <f>OVERALL!A19</f>
        <v>CHECK</v>
      </c>
      <c r="B19" s="3">
        <f>IF(C19=0,"-",COUNTIF(D19:F19,"y")/C19)</f>
        <v>0</v>
      </c>
      <c r="C19" s="26">
        <f>$C$2-COUNTIF(D19:F19, "-")</f>
        <v>3</v>
      </c>
      <c r="D19" s="296" t="s">
        <v>119</v>
      </c>
      <c r="E19" s="299" t="s">
        <v>119</v>
      </c>
      <c r="F19" s="299" t="s">
        <v>119</v>
      </c>
    </row>
    <row r="20" spans="1:11" ht="18" customHeight="1" x14ac:dyDescent="0.2">
      <c r="A20" s="33" t="str">
        <f>OVERALL!A20</f>
        <v>SEEK</v>
      </c>
      <c r="B20" s="3">
        <f>IF(C20=0,"-",COUNTIF(D20:F20,"y")/C20)</f>
        <v>0</v>
      </c>
      <c r="C20" s="26">
        <f>$C$2-COUNTIF(D20:F20, "-")</f>
        <v>3</v>
      </c>
      <c r="D20" s="296" t="s">
        <v>119</v>
      </c>
      <c r="E20" s="299" t="s">
        <v>119</v>
      </c>
      <c r="F20" s="299" t="s">
        <v>119</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0.22222222222222221</v>
      </c>
      <c r="C23" s="1" t="s">
        <v>1</v>
      </c>
      <c r="D23" s="29">
        <f>IF(D27=0,"-",(COUNTIF(D24:D26, "y")/D27)*OVERALL!$C$23)</f>
        <v>4.9999999999999996E-2</v>
      </c>
      <c r="E23" s="29">
        <f>IF(E27=0,"-",(COUNTIF(E24:E26, "y")/E27)*OVERALL!$C$23)</f>
        <v>4.9999999999999996E-2</v>
      </c>
      <c r="F23" s="29">
        <f>IF(F27=0,"-",(COUNTIF(F24:F26, "y")/F27)*OVERALL!$C$23)</f>
        <v>0</v>
      </c>
    </row>
    <row r="24" spans="1:11" ht="18" customHeight="1" x14ac:dyDescent="0.2">
      <c r="A24" s="33" t="str">
        <f>OVERALL!A24</f>
        <v>QUESTIONS</v>
      </c>
      <c r="B24" s="3">
        <f>IF(C24=0,"-",COUNTIF(D24:F24,"y")/C24)</f>
        <v>0</v>
      </c>
      <c r="C24" s="26">
        <f>$C$2-COUNTIF(D24:F24, "-")</f>
        <v>3</v>
      </c>
      <c r="D24" s="296" t="s">
        <v>119</v>
      </c>
      <c r="E24" s="299" t="s">
        <v>119</v>
      </c>
      <c r="F24" s="299" t="s">
        <v>119</v>
      </c>
    </row>
    <row r="25" spans="1:11" ht="18" customHeight="1" x14ac:dyDescent="0.2">
      <c r="A25" s="33" t="str">
        <f>OVERALL!A25</f>
        <v>GRATITUDE</v>
      </c>
      <c r="B25" s="3">
        <f>IF(C25=0,"-",COUNTIF(D25:F25,"y")/C25)</f>
        <v>0</v>
      </c>
      <c r="C25" s="26">
        <f>$C$2-COUNTIF(D25:F25, "-")</f>
        <v>3</v>
      </c>
      <c r="D25" s="296" t="s">
        <v>119</v>
      </c>
      <c r="E25" s="299" t="s">
        <v>119</v>
      </c>
      <c r="F25" s="299" t="s">
        <v>119</v>
      </c>
    </row>
    <row r="26" spans="1:11" ht="18" customHeight="1" x14ac:dyDescent="0.2">
      <c r="A26" s="33" t="str">
        <f>OVERALL!A26</f>
        <v>THANKS</v>
      </c>
      <c r="B26" s="3">
        <f>IF(C26=0,"-",COUNTIF(D26:F26,"y")/C26)</f>
        <v>0.66666666666666663</v>
      </c>
      <c r="C26" s="26">
        <f>$C$2-COUNTIF(D26:F26, "-")</f>
        <v>3</v>
      </c>
      <c r="D26" s="296" t="s">
        <v>120</v>
      </c>
      <c r="E26" s="299" t="s">
        <v>120</v>
      </c>
      <c r="F26" s="299" t="s">
        <v>119</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6" t="s">
        <v>120</v>
      </c>
      <c r="E29" s="299" t="s">
        <v>120</v>
      </c>
      <c r="F29" s="299" t="s">
        <v>120</v>
      </c>
    </row>
    <row r="30" spans="1:11" ht="18" customHeight="1" x14ac:dyDescent="0.2">
      <c r="A30" s="33" t="str">
        <f>OVERALL!A30</f>
        <v>EMPATHY</v>
      </c>
      <c r="B30" s="3">
        <f>IF(C30=0,"-",COUNTIF(D30:F30,"y")/C30)</f>
        <v>1</v>
      </c>
      <c r="C30" s="26">
        <f>$C$2-COUNTIF(D30:F30, "-")</f>
        <v>3</v>
      </c>
      <c r="D30" s="296" t="s">
        <v>120</v>
      </c>
      <c r="E30" s="299" t="s">
        <v>120</v>
      </c>
      <c r="F30" s="299" t="s">
        <v>120</v>
      </c>
    </row>
    <row r="31" spans="1:11" ht="18" customHeight="1" x14ac:dyDescent="0.2">
      <c r="A31" s="33" t="str">
        <f>OVERALL!A31</f>
        <v>CONTROL</v>
      </c>
      <c r="B31" s="3">
        <f>IF(C31=0,"-",COUNTIF(D31:F31,"y")/C31)</f>
        <v>0.66666666666666663</v>
      </c>
      <c r="C31" s="26">
        <f>$C$2-COUNTIF(D31:F31, "-")</f>
        <v>3</v>
      </c>
      <c r="D31" s="296" t="s">
        <v>120</v>
      </c>
      <c r="E31" s="299" t="s">
        <v>120</v>
      </c>
      <c r="F31" s="299" t="s">
        <v>119</v>
      </c>
    </row>
    <row r="32" spans="1:11" ht="18" customHeight="1" x14ac:dyDescent="0.2">
      <c r="A32" s="33" t="str">
        <f>OVERALL!A32</f>
        <v>CLARITY</v>
      </c>
      <c r="B32" s="3">
        <f>IF(C32=0,"-",COUNTIF(D32:F32,"y")/C32)</f>
        <v>1</v>
      </c>
      <c r="C32" s="26">
        <f>$C$2-COUNTIF(D32:F32, "-")</f>
        <v>3</v>
      </c>
      <c r="D32" s="296" t="s">
        <v>120</v>
      </c>
      <c r="E32" s="299" t="s">
        <v>120</v>
      </c>
      <c r="F32" s="299" t="s">
        <v>120</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96" t="s">
        <v>119</v>
      </c>
      <c r="E35" s="299" t="s">
        <v>119</v>
      </c>
      <c r="F35" s="299" t="s">
        <v>119</v>
      </c>
      <c r="H35" s="48">
        <v>-0.3</v>
      </c>
      <c r="J35" s="48"/>
      <c r="K35" s="48"/>
      <c r="L35" s="48"/>
    </row>
    <row r="36" spans="1:13" ht="18" customHeight="1" x14ac:dyDescent="0.2">
      <c r="A36" s="45" t="str">
        <f>OVERALL!A36</f>
        <v>AUDIO ISSUE (DISTRACTION)</v>
      </c>
      <c r="B36" s="3">
        <f>IF(C36=0,"-",COUNTIF(D36:F36,"y")/C36)</f>
        <v>0</v>
      </c>
      <c r="C36" s="26">
        <f>$C$2-COUNTIF(D36:F36, "-")</f>
        <v>3</v>
      </c>
      <c r="D36" s="296" t="s">
        <v>119</v>
      </c>
      <c r="E36" s="299" t="s">
        <v>119</v>
      </c>
      <c r="F36" s="299"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7" t="s">
        <v>120</v>
      </c>
      <c r="E39" s="301" t="s">
        <v>120</v>
      </c>
      <c r="F39" s="301" t="s">
        <v>120</v>
      </c>
    </row>
    <row r="40" spans="1:13" ht="18" customHeight="1" x14ac:dyDescent="0.2">
      <c r="A40" s="33" t="str">
        <f>OVERALL!A40</f>
        <v>TALK TIME</v>
      </c>
      <c r="B40" s="286">
        <f>IF(C40=0,"-",AVERAGE(D40:F40))</f>
        <v>2.7199074074074074E-3</v>
      </c>
      <c r="C40" s="284">
        <f>$C$2-COUNTIF(D40:F40, "-")</f>
        <v>3</v>
      </c>
      <c r="D40" s="286">
        <v>2.5000000000000001E-3</v>
      </c>
      <c r="E40" s="286">
        <v>4.0625000000000001E-3</v>
      </c>
      <c r="F40" s="295">
        <v>1.5972222222222223E-3</v>
      </c>
      <c r="G40" s="46"/>
      <c r="H40" s="261"/>
      <c r="I40" s="261"/>
      <c r="J40" s="261"/>
      <c r="K40" s="261"/>
      <c r="L40" s="261"/>
      <c r="M40" s="261"/>
    </row>
    <row r="41" spans="1:13" ht="18" customHeight="1" x14ac:dyDescent="0.2">
      <c r="A41" s="33" t="str">
        <f>OVERALL!A41</f>
        <v>ASSESSOR RATING (0-10)</v>
      </c>
      <c r="B41" s="277">
        <f>IF(C41=0,"-",SUM(D41:F41)/C41)</f>
        <v>4.666666666666667</v>
      </c>
      <c r="C41" s="26">
        <f>$C$2-COUNTIF(D41:F41, "-")</f>
        <v>3</v>
      </c>
      <c r="D41" s="285">
        <v>5</v>
      </c>
      <c r="E41" s="285">
        <v>5</v>
      </c>
      <c r="F41" s="285">
        <v>4</v>
      </c>
      <c r="G41" s="275"/>
      <c r="H41" s="276"/>
      <c r="I41" s="276"/>
      <c r="J41" s="276"/>
      <c r="K41" s="276"/>
      <c r="L41" s="276"/>
      <c r="M41" s="276"/>
    </row>
    <row r="42" spans="1:13" ht="18" customHeight="1" x14ac:dyDescent="0.2">
      <c r="A42" s="33" t="str">
        <f>OVERALL!A42</f>
        <v>EXPLAINED KEY FEATURES</v>
      </c>
      <c r="B42" s="3">
        <f>IF(C42=0,"-",COUNTIF(D42:F42, "y")/C42)</f>
        <v>0.33333333333333331</v>
      </c>
      <c r="C42" s="26">
        <f>$C$2-COUNTIF(D42:F42, "-")</f>
        <v>3</v>
      </c>
      <c r="D42" s="296" t="s">
        <v>120</v>
      </c>
      <c r="E42" s="299" t="s">
        <v>119</v>
      </c>
      <c r="F42" s="302" t="s">
        <v>119</v>
      </c>
      <c r="G42" s="47"/>
      <c r="H42" t="s">
        <v>1</v>
      </c>
    </row>
    <row r="43" spans="1:13" ht="18" customHeight="1" x14ac:dyDescent="0.2">
      <c r="A43" s="33" t="str">
        <f>OVERALL!A43</f>
        <v>REVEALED PRICING</v>
      </c>
      <c r="B43" s="3">
        <f>IF(C43=0,"-",COUNTIF(D43:F43, "y")/C43)</f>
        <v>0.33333333333333331</v>
      </c>
      <c r="C43" s="26">
        <f>$C$2-COUNTIF(D43:F43, "-")</f>
        <v>3</v>
      </c>
      <c r="D43" s="296" t="s">
        <v>120</v>
      </c>
      <c r="E43" s="299" t="s">
        <v>119</v>
      </c>
      <c r="F43" s="302" t="s">
        <v>119</v>
      </c>
    </row>
    <row r="44" spans="1:13" ht="18" customHeight="1" x14ac:dyDescent="0.2">
      <c r="A44" s="33" t="str">
        <f>OVERALL!A44</f>
        <v>EXPLAINED ACTIONS &amp; PROCESS</v>
      </c>
      <c r="B44" s="3">
        <f>IF(C44=0,"-",COUNTIF(D44:F44, "y")/C44)</f>
        <v>1</v>
      </c>
      <c r="C44" s="26">
        <f>$C$2-COUNTIF(D44:F44, "-")</f>
        <v>3</v>
      </c>
      <c r="D44" s="296" t="s">
        <v>120</v>
      </c>
      <c r="E44" s="299" t="s">
        <v>120</v>
      </c>
      <c r="F44" s="302" t="s">
        <v>120</v>
      </c>
    </row>
    <row r="45" spans="1:13" ht="18" customHeight="1" x14ac:dyDescent="0.2">
      <c r="A45" s="33" t="str">
        <f>OVERALL!A45</f>
        <v>WEBSITE EDUCATION</v>
      </c>
      <c r="B45" s="3">
        <f>IF(C45=0,"-",COUNTIF(D45:F45, "y")/C45)</f>
        <v>0</v>
      </c>
      <c r="C45" s="26">
        <f>$C$2-COUNTIF(D45:F45, "-")</f>
        <v>3</v>
      </c>
      <c r="D45" s="296" t="s">
        <v>119</v>
      </c>
      <c r="E45" s="299" t="s">
        <v>119</v>
      </c>
      <c r="F45" s="302" t="s">
        <v>119</v>
      </c>
    </row>
    <row r="46" spans="1:13" ht="18" customHeight="1" x14ac:dyDescent="0.2">
      <c r="A46" s="18"/>
      <c r="B46" s="3"/>
      <c r="C46" s="26"/>
      <c r="D46" s="259"/>
      <c r="E46" s="259"/>
      <c r="F46" s="259"/>
    </row>
    <row r="47" spans="1:13" ht="180" x14ac:dyDescent="0.2">
      <c r="A47" s="25" t="s">
        <v>1</v>
      </c>
      <c r="B47" s="348" t="s">
        <v>35</v>
      </c>
      <c r="C47" s="349"/>
      <c r="D47" s="23" t="s">
        <v>122</v>
      </c>
      <c r="E47" s="23" t="s">
        <v>148</v>
      </c>
      <c r="F47" s="23" t="s">
        <v>136</v>
      </c>
    </row>
    <row r="48" spans="1:13" ht="18" customHeight="1" x14ac:dyDescent="0.2">
      <c r="A48" s="59" t="s">
        <v>45</v>
      </c>
      <c r="D48" s="50">
        <f t="shared" ref="D48:F48" si="9">IF(D$2="","",IF(D$39="n", "", SUM(D$6,D$12,D$17,D$23,D$28,D$34)))</f>
        <v>0.5083333333333333</v>
      </c>
      <c r="E48" s="50">
        <f t="shared" si="9"/>
        <v>0.4916666666666667</v>
      </c>
      <c r="F48" s="50">
        <f t="shared" si="9"/>
        <v>0.39166666666666672</v>
      </c>
    </row>
    <row r="50" spans="1:6" ht="19" x14ac:dyDescent="0.25">
      <c r="A50" s="110" t="s">
        <v>72</v>
      </c>
      <c r="B50" s="90" t="s">
        <v>73</v>
      </c>
    </row>
    <row r="51" spans="1:6" x14ac:dyDescent="0.2">
      <c r="A51" s="111" t="s">
        <v>61</v>
      </c>
      <c r="B51" s="112">
        <v>0.3</v>
      </c>
      <c r="C51" s="111"/>
      <c r="D51" s="252">
        <f>[1]BENETAS!D$4</f>
        <v>0.78875000000000006</v>
      </c>
      <c r="E51" s="252">
        <f>[1]BENETAS!E$4</f>
        <v>0.75750000000000006</v>
      </c>
      <c r="F51" s="252">
        <f>[1]BENETAS!F$4</f>
        <v>0.43517857142857136</v>
      </c>
    </row>
    <row r="52" spans="1:6" x14ac:dyDescent="0.2">
      <c r="A52" s="111" t="s">
        <v>62</v>
      </c>
      <c r="B52" s="112">
        <v>0.7</v>
      </c>
      <c r="C52" s="111"/>
      <c r="D52" s="253">
        <f t="shared" ref="D52:F52" si="10">D4</f>
        <v>0.5083333333333333</v>
      </c>
      <c r="E52" s="253">
        <f t="shared" si="10"/>
        <v>0.4916666666666667</v>
      </c>
      <c r="F52" s="253">
        <f t="shared" si="10"/>
        <v>0.39166666666666672</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0.236625</v>
      </c>
      <c r="E55" s="253">
        <f t="shared" ref="E55:F55" si="11">IF(E51="-","-",E51*$B$51)</f>
        <v>0.22725000000000001</v>
      </c>
      <c r="F55" s="253">
        <f t="shared" si="11"/>
        <v>0.13055357142857141</v>
      </c>
    </row>
    <row r="56" spans="1:6" x14ac:dyDescent="0.2">
      <c r="A56" s="111" t="s">
        <v>62</v>
      </c>
      <c r="B56" s="111"/>
      <c r="C56" s="111"/>
      <c r="D56" s="253">
        <f t="shared" ref="D56:F56" si="12">IF(D52="-","-",D52*$B$52)</f>
        <v>0.35583333333333328</v>
      </c>
      <c r="E56" s="253">
        <f t="shared" si="12"/>
        <v>0.34416666666666668</v>
      </c>
      <c r="F56" s="253">
        <f t="shared" si="12"/>
        <v>0.27416666666666667</v>
      </c>
    </row>
    <row r="57" spans="1:6" x14ac:dyDescent="0.2">
      <c r="A57" s="114" t="s">
        <v>57</v>
      </c>
      <c r="B57" s="114"/>
      <c r="C57" s="114"/>
      <c r="D57" s="115">
        <f t="shared" ref="D57:F57" si="13">IF(D51="","",IF(D52="","",SUM(D55:D56)))</f>
        <v>0.59245833333333331</v>
      </c>
      <c r="E57" s="115">
        <f t="shared" si="13"/>
        <v>0.57141666666666668</v>
      </c>
      <c r="F57" s="115">
        <f t="shared" si="13"/>
        <v>0.40472023809523805</v>
      </c>
    </row>
  </sheetData>
  <mergeCells count="2">
    <mergeCell ref="A38:B38"/>
    <mergeCell ref="B47:C47"/>
  </mergeCells>
  <conditionalFormatting sqref="B4 D4:F4">
    <cfRule type="containsBlanks" dxfId="82" priority="6">
      <formula>LEN(TRIM(B4))=0</formula>
    </cfRule>
    <cfRule type="cellIs" dxfId="81" priority="7" operator="greaterThanOrEqual">
      <formula>0.905</formula>
    </cfRule>
    <cfRule type="cellIs" dxfId="80" priority="8" operator="between">
      <formula>0.754999</formula>
      <formula>0.905</formula>
    </cfRule>
    <cfRule type="cellIs" dxfId="79" priority="9" operator="between">
      <formula>0.604999</formula>
      <formula>0.754999</formula>
    </cfRule>
    <cfRule type="cellIs" dxfId="78" priority="10" operator="between">
      <formula>0.44999</formula>
      <formula>0.605</formula>
    </cfRule>
    <cfRule type="cellIs" dxfId="77" priority="11" operator="lessThan">
      <formula>0.45</formula>
    </cfRule>
  </conditionalFormatting>
  <conditionalFormatting sqref="B6">
    <cfRule type="containsText" dxfId="76" priority="5" operator="containsText" text="NA">
      <formula>NOT(ISERROR(SEARCH("NA",B6)))</formula>
    </cfRule>
  </conditionalFormatting>
  <conditionalFormatting sqref="B12">
    <cfRule type="containsText" dxfId="75" priority="4" operator="containsText" text="NA">
      <formula>NOT(ISERROR(SEARCH("NA",B12)))</formula>
    </cfRule>
  </conditionalFormatting>
  <conditionalFormatting sqref="B17">
    <cfRule type="containsText" dxfId="74" priority="3" operator="containsText" text="NA">
      <formula>NOT(ISERROR(SEARCH("NA",B17)))</formula>
    </cfRule>
  </conditionalFormatting>
  <conditionalFormatting sqref="B23">
    <cfRule type="containsText" dxfId="73" priority="2" operator="containsText" text="NA">
      <formula>NOT(ISERROR(SEARCH("NA",B23)))</formula>
    </cfRule>
  </conditionalFormatting>
  <conditionalFormatting sqref="B28">
    <cfRule type="containsText" dxfId="72" priority="1" operator="containsText" text="NA">
      <formula>NOT(ISERROR(SEARCH("NA",B28)))</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4" activePane="bottomRight" state="frozen"/>
      <selection activeCell="D41" sqref="D41:F49"/>
      <selection pane="topRight" activeCell="D41" sqref="D41:F49"/>
      <selection pane="bottomLeft" activeCell="D41" sqref="D41:F49"/>
      <selection pane="bottomRight" activeCell="D51" sqref="D51: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123</v>
      </c>
      <c r="E2" s="300" t="s">
        <v>149</v>
      </c>
      <c r="F2" s="300" t="s">
        <v>143</v>
      </c>
    </row>
    <row r="3" spans="1:8" ht="19" x14ac:dyDescent="0.2">
      <c r="A3" s="32" t="str">
        <f>OVERALL!E1</f>
        <v>BLUE CARE</v>
      </c>
      <c r="B3" s="244">
        <f>OVERALL!D3</f>
        <v>0.52286507936507931</v>
      </c>
      <c r="C3" s="108" t="s">
        <v>71</v>
      </c>
      <c r="D3" s="109">
        <f>IF(D2="-","-",D57)</f>
        <v>0.56647619047619047</v>
      </c>
      <c r="E3" s="109">
        <f t="shared" ref="E3:F3" si="0">IF(E2="-","-",E57)</f>
        <v>0.66995833333333332</v>
      </c>
      <c r="F3" s="109">
        <f t="shared" si="0"/>
        <v>0.60391666666666666</v>
      </c>
    </row>
    <row r="4" spans="1:8" ht="18" customHeight="1" x14ac:dyDescent="0.2">
      <c r="A4" s="17" t="str">
        <f>OVERALL!A4</f>
        <v>AGENT MASTERY SCORE</v>
      </c>
      <c r="B4" s="38">
        <f>IF(C2=0, "-", IF(COUNTIF(D39:F39, "n")=C2, "-", IF(COUNT(D4:F4)=0, "-", AVERAGE(D4:F4))))</f>
        <v>0.55694444444444446</v>
      </c>
      <c r="C4" s="58" t="s">
        <v>1</v>
      </c>
      <c r="D4" s="38">
        <f>IF(D48&lt;0%,0%,IF(D$2="-","-",IF(D$39="n", "-", SUM(D$6,D$12,D$17,D$23,D$28,D$34))))</f>
        <v>0.5083333333333333</v>
      </c>
      <c r="E4" s="38">
        <f t="shared" ref="E4:F4" si="1">IF(E48&lt;0%,0%,IF(E$2="-","-",IF(E$39="n", "-", SUM(E$6,E$12,E$17,E$23,E$28,E$34))))</f>
        <v>0.60833333333333339</v>
      </c>
      <c r="F4" s="38">
        <f t="shared" si="1"/>
        <v>0.5541666666666667</v>
      </c>
      <c r="H4" s="12" t="s">
        <v>8</v>
      </c>
    </row>
    <row r="5" spans="1:8" ht="18" customHeight="1" x14ac:dyDescent="0.25">
      <c r="A5" s="57" t="s">
        <v>46</v>
      </c>
      <c r="B5" s="58">
        <f>IF(B6="-","-",AVERAGE(D5:F5))</f>
        <v>0.55694444444444446</v>
      </c>
      <c r="C5" s="58" t="s">
        <v>1</v>
      </c>
      <c r="D5" s="60">
        <f t="shared" ref="D5:F5" si="2">IF(D$2="","",IF(D$39="n", "", SUM(D$6,D$12,D$17,D$23,D$28)))</f>
        <v>0.5083333333333333</v>
      </c>
      <c r="E5" s="60">
        <f t="shared" si="2"/>
        <v>0.60833333333333339</v>
      </c>
      <c r="F5" s="60">
        <f t="shared" si="2"/>
        <v>0.5541666666666667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6" t="s">
        <v>120</v>
      </c>
      <c r="E7" s="299" t="s">
        <v>120</v>
      </c>
      <c r="F7" s="299" t="s">
        <v>120</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v>
      </c>
      <c r="C9" s="26">
        <f>$C$2-COUNTIF(D9:F9, "-")</f>
        <v>3</v>
      </c>
      <c r="D9" s="296" t="s">
        <v>119</v>
      </c>
      <c r="E9" s="299" t="s">
        <v>119</v>
      </c>
      <c r="F9" s="299" t="s">
        <v>119</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0.13333333333333333</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119</v>
      </c>
      <c r="E13" s="299" t="s">
        <v>119</v>
      </c>
      <c r="F13" s="299" t="s">
        <v>119</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0.66666666666666663</v>
      </c>
      <c r="C15" s="26">
        <f>$C$2-COUNTIF(D15:F15, "-")</f>
        <v>3</v>
      </c>
      <c r="D15" s="296" t="s">
        <v>120</v>
      </c>
      <c r="E15" s="299" t="s">
        <v>120</v>
      </c>
      <c r="F15" s="299" t="s">
        <v>119</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1</v>
      </c>
      <c r="C18" s="26">
        <f>$C$2-COUNTIF(D18:F18, "-")</f>
        <v>3</v>
      </c>
      <c r="D18" s="296" t="s">
        <v>120</v>
      </c>
      <c r="E18" s="299" t="s">
        <v>120</v>
      </c>
      <c r="F18" s="299" t="s">
        <v>120</v>
      </c>
    </row>
    <row r="19" spans="1:11" ht="18" customHeight="1" x14ac:dyDescent="0.2">
      <c r="A19" s="33" t="str">
        <f>OVERALL!A19</f>
        <v>CHECK</v>
      </c>
      <c r="B19" s="3">
        <f>IF(C19=0,"-",COUNTIF(D19:F19,"y")/C19)</f>
        <v>0</v>
      </c>
      <c r="C19" s="26">
        <f>$C$2-COUNTIF(D19:F19, "-")</f>
        <v>3</v>
      </c>
      <c r="D19" s="296" t="s">
        <v>119</v>
      </c>
      <c r="E19" s="299" t="s">
        <v>119</v>
      </c>
      <c r="F19" s="299" t="s">
        <v>119</v>
      </c>
    </row>
    <row r="20" spans="1:11" ht="18" customHeight="1" x14ac:dyDescent="0.2">
      <c r="A20" s="33" t="str">
        <f>OVERALL!A20</f>
        <v>SEEK</v>
      </c>
      <c r="B20" s="3">
        <f>IF(C20=0,"-",COUNTIF(D20:F20,"y")/C20)</f>
        <v>0.33333333333333331</v>
      </c>
      <c r="C20" s="26">
        <f>$C$2-COUNTIF(D20:F20, "-")</f>
        <v>3</v>
      </c>
      <c r="D20" s="296" t="s">
        <v>119</v>
      </c>
      <c r="E20" s="299" t="s">
        <v>119</v>
      </c>
      <c r="F20" s="299" t="s">
        <v>120</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6" t="s">
        <v>119</v>
      </c>
      <c r="E24" s="299" t="s">
        <v>120</v>
      </c>
      <c r="F24" s="299" t="s">
        <v>119</v>
      </c>
    </row>
    <row r="25" spans="1:11" ht="18" customHeight="1" x14ac:dyDescent="0.2">
      <c r="A25" s="33" t="str">
        <f>OVERALL!A25</f>
        <v>GRATITUDE</v>
      </c>
      <c r="B25" s="3">
        <f>IF(C25=0,"-",COUNTIF(D25:F25,"y")/C25)</f>
        <v>0</v>
      </c>
      <c r="C25" s="26">
        <f>$C$2-COUNTIF(D25:F25, "-")</f>
        <v>3</v>
      </c>
      <c r="D25" s="296" t="s">
        <v>119</v>
      </c>
      <c r="E25" s="299" t="s">
        <v>119</v>
      </c>
      <c r="F25" s="299" t="s">
        <v>119</v>
      </c>
    </row>
    <row r="26" spans="1:11" ht="18" customHeight="1" x14ac:dyDescent="0.2">
      <c r="A26" s="33" t="str">
        <f>OVERALL!A26</f>
        <v>THANKS</v>
      </c>
      <c r="B26" s="3">
        <f>IF(C26=0,"-",COUNTIF(D26:F26,"y")/C26)</f>
        <v>1</v>
      </c>
      <c r="C26" s="26">
        <f>$C$2-COUNTIF(D26:F26, "-")</f>
        <v>3</v>
      </c>
      <c r="D26" s="296" t="s">
        <v>120</v>
      </c>
      <c r="E26" s="299" t="s">
        <v>120</v>
      </c>
      <c r="F26" s="299"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6" t="s">
        <v>120</v>
      </c>
      <c r="E29" s="299" t="s">
        <v>120</v>
      </c>
      <c r="F29" s="299" t="s">
        <v>120</v>
      </c>
    </row>
    <row r="30" spans="1:11" ht="18" customHeight="1" x14ac:dyDescent="0.2">
      <c r="A30" s="33" t="str">
        <f>OVERALL!A30</f>
        <v>EMPATHY</v>
      </c>
      <c r="B30" s="3">
        <f>IF(C30=0,"-",COUNTIF(D30:F30,"y")/C30)</f>
        <v>1</v>
      </c>
      <c r="C30" s="26">
        <f>$C$2-COUNTIF(D30:F30, "-")</f>
        <v>3</v>
      </c>
      <c r="D30" s="296" t="s">
        <v>120</v>
      </c>
      <c r="E30" s="299" t="s">
        <v>120</v>
      </c>
      <c r="F30" s="299" t="s">
        <v>120</v>
      </c>
    </row>
    <row r="31" spans="1:11" ht="18" customHeight="1" x14ac:dyDescent="0.2">
      <c r="A31" s="33" t="str">
        <f>OVERALL!A31</f>
        <v>CONTROL</v>
      </c>
      <c r="B31" s="3">
        <f>IF(C31=0,"-",COUNTIF(D31:F31,"y")/C31)</f>
        <v>1</v>
      </c>
      <c r="C31" s="26">
        <f>$C$2-COUNTIF(D31:F31, "-")</f>
        <v>3</v>
      </c>
      <c r="D31" s="296" t="s">
        <v>120</v>
      </c>
      <c r="E31" s="299" t="s">
        <v>120</v>
      </c>
      <c r="F31" s="299" t="s">
        <v>120</v>
      </c>
    </row>
    <row r="32" spans="1:11" ht="18" customHeight="1" x14ac:dyDescent="0.2">
      <c r="A32" s="33" t="str">
        <f>OVERALL!A32</f>
        <v>CLARITY</v>
      </c>
      <c r="B32" s="3">
        <f>IF(C32=0,"-",COUNTIF(D32:F32,"y")/C32)</f>
        <v>0.66666666666666663</v>
      </c>
      <c r="C32" s="26">
        <f>$C$2-COUNTIF(D32:F32, "-")</f>
        <v>3</v>
      </c>
      <c r="D32" s="296" t="s">
        <v>119</v>
      </c>
      <c r="E32" s="299" t="s">
        <v>120</v>
      </c>
      <c r="F32" s="299" t="s">
        <v>120</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6" ht="18" customHeight="1" x14ac:dyDescent="0.2">
      <c r="A35" s="45" t="str">
        <f>OVERALL!A35</f>
        <v>AUDIO ISSUE (MAJOR IMPACT)</v>
      </c>
      <c r="B35" s="3">
        <f>IF(C35=0,"-",COUNTIF(D35:F35,"y")/C35)</f>
        <v>0</v>
      </c>
      <c r="C35" s="26">
        <f>$C$2-COUNTIF(D35:F35, "-")</f>
        <v>3</v>
      </c>
      <c r="D35" s="296" t="s">
        <v>119</v>
      </c>
      <c r="E35" s="299" t="s">
        <v>119</v>
      </c>
      <c r="F35" s="299" t="s">
        <v>119</v>
      </c>
      <c r="H35" s="48">
        <v>-0.3</v>
      </c>
      <c r="J35" s="48"/>
      <c r="K35" s="48"/>
      <c r="L35" s="48"/>
    </row>
    <row r="36" spans="1:16" ht="18" customHeight="1" x14ac:dyDescent="0.2">
      <c r="A36" s="45" t="str">
        <f>OVERALL!A36</f>
        <v>AUDIO ISSUE (DISTRACTION)</v>
      </c>
      <c r="B36" s="3">
        <f>IF(C36=0,"-",COUNTIF(D36:F36,"y")/C36)</f>
        <v>0</v>
      </c>
      <c r="C36" s="26">
        <f>$C$2-COUNTIF(D36:F36, "-")</f>
        <v>3</v>
      </c>
      <c r="D36" s="296" t="s">
        <v>119</v>
      </c>
      <c r="E36" s="299" t="s">
        <v>119</v>
      </c>
      <c r="F36" s="299" t="s">
        <v>119</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46" t="str">
        <f>OVERALL!A38</f>
        <v>ADDITIONAL INSIGHT</v>
      </c>
      <c r="B38" s="347"/>
      <c r="C38" s="10" t="s">
        <v>1</v>
      </c>
      <c r="D38" s="30"/>
      <c r="E38" s="30"/>
      <c r="F38" s="30"/>
    </row>
    <row r="39" spans="1:16" ht="18" customHeight="1" x14ac:dyDescent="0.2">
      <c r="A39" s="33" t="str">
        <f>OVERALL!A39</f>
        <v>CALL ANSWERED-QUALITY</v>
      </c>
      <c r="B39" s="3">
        <f>IF(C39=0,"-",COUNTIF(D39:F39, "y")/C39)</f>
        <v>1</v>
      </c>
      <c r="C39" s="26">
        <f>$C$2-COUNTIF(D39:F39, "-")</f>
        <v>3</v>
      </c>
      <c r="D39" s="296" t="s">
        <v>120</v>
      </c>
      <c r="E39" s="299" t="s">
        <v>120</v>
      </c>
      <c r="F39" s="299" t="s">
        <v>120</v>
      </c>
    </row>
    <row r="40" spans="1:16" ht="18" customHeight="1" x14ac:dyDescent="0.2">
      <c r="A40" s="33" t="str">
        <f>OVERALL!A40</f>
        <v>TALK TIME</v>
      </c>
      <c r="B40" s="286">
        <f>IF(C40=0,"-",AVERAGE(D40:F40))</f>
        <v>1.6550925925925926E-3</v>
      </c>
      <c r="C40" s="26">
        <f>$C$2-COUNTIF(D40:F40, "-")</f>
        <v>3</v>
      </c>
      <c r="D40" s="286">
        <v>1.8287037037037037E-3</v>
      </c>
      <c r="E40" s="293">
        <v>2.0949074074074073E-3</v>
      </c>
      <c r="F40" s="286">
        <v>1.0416666666666667E-3</v>
      </c>
      <c r="G40" s="46"/>
      <c r="H40" s="261"/>
      <c r="I40" s="261"/>
      <c r="J40" s="261"/>
      <c r="K40" s="261"/>
      <c r="L40" s="261"/>
      <c r="M40" s="261"/>
      <c r="N40" s="261"/>
      <c r="O40" s="261"/>
      <c r="P40" s="261"/>
    </row>
    <row r="41" spans="1:16" ht="18" customHeight="1" x14ac:dyDescent="0.2">
      <c r="A41" s="33" t="str">
        <f>OVERALL!A41</f>
        <v>ASSESSOR RATING (0-10)</v>
      </c>
      <c r="B41" s="259">
        <f>IF(C41=0,"-",SUM(D41:F41)/C41)</f>
        <v>5</v>
      </c>
      <c r="C41" s="26">
        <f>$C$2-COUNTIF(D41:F41, "-")</f>
        <v>3</v>
      </c>
      <c r="D41" s="278">
        <v>4</v>
      </c>
      <c r="E41" s="294">
        <v>6</v>
      </c>
      <c r="F41" s="278">
        <v>5</v>
      </c>
    </row>
    <row r="42" spans="1:16" ht="18" customHeight="1" x14ac:dyDescent="0.2">
      <c r="A42" s="33" t="str">
        <f>OVERALL!A42</f>
        <v>EXPLAINED KEY FEATURES</v>
      </c>
      <c r="B42" s="3">
        <f>IF(C42=0,"-",COUNTIF(D42:F42, "y")/C42)</f>
        <v>0</v>
      </c>
      <c r="C42" s="26">
        <f>$C$2-COUNTIF(D42:F42, "-")</f>
        <v>3</v>
      </c>
      <c r="D42" s="296" t="s">
        <v>119</v>
      </c>
      <c r="E42" s="299" t="s">
        <v>119</v>
      </c>
      <c r="F42" s="299" t="s">
        <v>119</v>
      </c>
      <c r="G42" s="47"/>
      <c r="H42" t="s">
        <v>1</v>
      </c>
    </row>
    <row r="43" spans="1:16" ht="18" customHeight="1" x14ac:dyDescent="0.2">
      <c r="A43" s="33" t="str">
        <f>OVERALL!A43</f>
        <v>REVEALED PRICING</v>
      </c>
      <c r="B43" s="3">
        <f>IF(C43=0,"-",COUNTIF(D43:F43, "y")/C43)</f>
        <v>0.33333333333333331</v>
      </c>
      <c r="C43" s="26">
        <f>$C$2-COUNTIF(D43:F43, "-")</f>
        <v>3</v>
      </c>
      <c r="D43" s="296" t="s">
        <v>119</v>
      </c>
      <c r="E43" s="299" t="s">
        <v>120</v>
      </c>
      <c r="F43" s="299" t="s">
        <v>119</v>
      </c>
    </row>
    <row r="44" spans="1:16" ht="18" customHeight="1" x14ac:dyDescent="0.2">
      <c r="A44" s="33" t="str">
        <f>OVERALL!A44</f>
        <v>EXPLAINED ACTIONS &amp; PROCESS</v>
      </c>
      <c r="B44" s="3">
        <f>IF(C44=0,"-",COUNTIF(D44:F44, "y")/C44)</f>
        <v>1</v>
      </c>
      <c r="C44" s="26">
        <f>$C$2-COUNTIF(D44:F44, "-")</f>
        <v>3</v>
      </c>
      <c r="D44" s="296" t="s">
        <v>120</v>
      </c>
      <c r="E44" s="299" t="s">
        <v>120</v>
      </c>
      <c r="F44" s="299" t="s">
        <v>120</v>
      </c>
    </row>
    <row r="45" spans="1:16" ht="18" customHeight="1" x14ac:dyDescent="0.2">
      <c r="A45" s="33" t="str">
        <f>OVERALL!A45</f>
        <v>WEBSITE EDUCATION</v>
      </c>
      <c r="B45" s="3">
        <f>IF(C45=0,"-",COUNTIF(D45:F45, "y")/C45)</f>
        <v>0</v>
      </c>
      <c r="C45" s="26">
        <f>$C$2-COUNTIF(D45:F45, "-")</f>
        <v>3</v>
      </c>
      <c r="D45" s="296" t="s">
        <v>119</v>
      </c>
      <c r="E45" s="299" t="s">
        <v>119</v>
      </c>
      <c r="F45" s="299" t="s">
        <v>119</v>
      </c>
    </row>
    <row r="46" spans="1:16" ht="18" customHeight="1" x14ac:dyDescent="0.2">
      <c r="A46" s="18"/>
      <c r="B46" s="3"/>
      <c r="C46" s="26"/>
      <c r="D46" s="259"/>
      <c r="E46" s="259"/>
      <c r="F46" s="259"/>
    </row>
    <row r="47" spans="1:16" ht="135" x14ac:dyDescent="0.2">
      <c r="A47" s="25" t="s">
        <v>1</v>
      </c>
      <c r="B47" s="350" t="s">
        <v>35</v>
      </c>
      <c r="C47" s="351"/>
      <c r="D47" s="23" t="s">
        <v>124</v>
      </c>
      <c r="E47" s="23" t="s">
        <v>150</v>
      </c>
      <c r="F47" s="23" t="s">
        <v>144</v>
      </c>
    </row>
    <row r="48" spans="1:16" ht="18" customHeight="1" x14ac:dyDescent="0.2">
      <c r="A48" s="59" t="s">
        <v>45</v>
      </c>
      <c r="D48" s="50">
        <f t="shared" ref="D48:F48" si="9">IF(D$2="","",IF(D$39="n", "", SUM(D$6,D$12,D$17,D$23,D$28,D$34)))</f>
        <v>0.5083333333333333</v>
      </c>
      <c r="E48" s="50">
        <f t="shared" si="9"/>
        <v>0.60833333333333339</v>
      </c>
      <c r="F48" s="50">
        <f t="shared" si="9"/>
        <v>0.5541666666666667</v>
      </c>
    </row>
    <row r="50" spans="1:6" ht="19" x14ac:dyDescent="0.25">
      <c r="A50" s="110" t="s">
        <v>72</v>
      </c>
      <c r="B50" s="90" t="s">
        <v>73</v>
      </c>
    </row>
    <row r="51" spans="1:6" x14ac:dyDescent="0.2">
      <c r="A51" s="111" t="s">
        <v>61</v>
      </c>
      <c r="B51" s="112">
        <v>0.3</v>
      </c>
      <c r="C51" s="111"/>
      <c r="D51" s="252">
        <f>[1]BLUE_CARE!D$4</f>
        <v>0.70214285714285718</v>
      </c>
      <c r="E51" s="252">
        <f>[1]BLUE_CARE!E$4</f>
        <v>0.81374999999999997</v>
      </c>
      <c r="F51" s="252">
        <f>[1]BLUE_CARE!F$4</f>
        <v>0.72</v>
      </c>
    </row>
    <row r="52" spans="1:6" x14ac:dyDescent="0.2">
      <c r="A52" s="111" t="s">
        <v>62</v>
      </c>
      <c r="B52" s="112">
        <v>0.7</v>
      </c>
      <c r="C52" s="111"/>
      <c r="D52" s="253">
        <f t="shared" ref="D52:F52" si="10">D4</f>
        <v>0.5083333333333333</v>
      </c>
      <c r="E52" s="253">
        <f t="shared" si="10"/>
        <v>0.60833333333333339</v>
      </c>
      <c r="F52" s="253">
        <f t="shared" si="10"/>
        <v>0.5541666666666667</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0.21064285714285716</v>
      </c>
      <c r="E55" s="253">
        <f t="shared" ref="E55:F55" si="11">IF(E51="-","-",E51*$B$51)</f>
        <v>0.24412499999999998</v>
      </c>
      <c r="F55" s="253">
        <f t="shared" si="11"/>
        <v>0.216</v>
      </c>
    </row>
    <row r="56" spans="1:6" x14ac:dyDescent="0.2">
      <c r="A56" s="111" t="s">
        <v>62</v>
      </c>
      <c r="B56" s="111"/>
      <c r="C56" s="111"/>
      <c r="D56" s="253">
        <f t="shared" ref="D56:F56" si="12">IF(D52="-","-",D52*$B$52)</f>
        <v>0.35583333333333328</v>
      </c>
      <c r="E56" s="253">
        <f t="shared" si="12"/>
        <v>0.42583333333333334</v>
      </c>
      <c r="F56" s="253">
        <f t="shared" si="12"/>
        <v>0.38791666666666669</v>
      </c>
    </row>
    <row r="57" spans="1:6" x14ac:dyDescent="0.2">
      <c r="A57" s="114" t="s">
        <v>57</v>
      </c>
      <c r="B57" s="114"/>
      <c r="C57" s="114"/>
      <c r="D57" s="115">
        <f t="shared" ref="D57:F57" si="13">IF(D51="","",IF(D52="","",SUM(D55:D56)))</f>
        <v>0.56647619047619047</v>
      </c>
      <c r="E57" s="115">
        <f t="shared" si="13"/>
        <v>0.66995833333333332</v>
      </c>
      <c r="F57" s="115">
        <f t="shared" si="13"/>
        <v>0.60391666666666666</v>
      </c>
    </row>
  </sheetData>
  <mergeCells count="2">
    <mergeCell ref="A38:B38"/>
    <mergeCell ref="B47:C47"/>
  </mergeCells>
  <conditionalFormatting sqref="B4 D4:F4">
    <cfRule type="containsBlanks" dxfId="71" priority="6">
      <formula>LEN(TRIM(B4))=0</formula>
    </cfRule>
    <cfRule type="cellIs" dxfId="70" priority="7" operator="greaterThanOrEqual">
      <formula>0.905</formula>
    </cfRule>
    <cfRule type="cellIs" dxfId="69" priority="8" operator="between">
      <formula>0.754999</formula>
      <formula>0.905</formula>
    </cfRule>
    <cfRule type="cellIs" dxfId="68" priority="9" operator="between">
      <formula>0.604999</formula>
      <formula>0.754999</formula>
    </cfRule>
    <cfRule type="cellIs" dxfId="67" priority="10" operator="between">
      <formula>0.44999</formula>
      <formula>0.605</formula>
    </cfRule>
    <cfRule type="cellIs" dxfId="66" priority="11" operator="lessThan">
      <formula>0.45</formula>
    </cfRule>
  </conditionalFormatting>
  <conditionalFormatting sqref="B6">
    <cfRule type="containsText" dxfId="65" priority="5" operator="containsText" text="NA">
      <formula>NOT(ISERROR(SEARCH("NA",B6)))</formula>
    </cfRule>
  </conditionalFormatting>
  <conditionalFormatting sqref="B12">
    <cfRule type="containsText" dxfId="64" priority="4" operator="containsText" text="NA">
      <formula>NOT(ISERROR(SEARCH("NA",B12)))</formula>
    </cfRule>
  </conditionalFormatting>
  <conditionalFormatting sqref="B17">
    <cfRule type="containsText" dxfId="63" priority="3" operator="containsText" text="NA">
      <formula>NOT(ISERROR(SEARCH("NA",B17)))</formula>
    </cfRule>
  </conditionalFormatting>
  <conditionalFormatting sqref="B23">
    <cfRule type="containsText" dxfId="62" priority="2" operator="containsText" text="NA">
      <formula>NOT(ISERROR(SEARCH("NA",B23)))</formula>
    </cfRule>
  </conditionalFormatting>
  <conditionalFormatting sqref="B28">
    <cfRule type="containsText" dxfId="61" priority="1" operator="containsText" text="NA">
      <formula>NOT(ISERROR(SEARCH("NA",B28)))</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activeCell="D41" sqref="D41:F49"/>
      <selection pane="topRight" activeCell="D41" sqref="D41:F49"/>
      <selection pane="bottomLeft" activeCell="D41" sqref="D41:F49"/>
      <selection pane="bottomRight" activeCell="E59" sqref="E5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125</v>
      </c>
      <c r="E2" s="300" t="s">
        <v>151</v>
      </c>
      <c r="F2" s="300" t="s">
        <v>137</v>
      </c>
    </row>
    <row r="3" spans="1:8" ht="19" x14ac:dyDescent="0.2">
      <c r="A3" s="32" t="str">
        <f>OVERALL!F1</f>
        <v>BOLTON CLARKE</v>
      </c>
      <c r="B3" s="244">
        <f>OVERALL!E3</f>
        <v>0.61345039682539682</v>
      </c>
      <c r="C3" s="108" t="s">
        <v>71</v>
      </c>
      <c r="D3" s="109">
        <f>IF(D2="-","-",D57)</f>
        <v>0.54933333333333334</v>
      </c>
      <c r="E3" s="109">
        <f t="shared" ref="E3:F3" si="0">IF(E2="-","-",E57)</f>
        <v>0.54620833333333341</v>
      </c>
      <c r="F3" s="109">
        <f t="shared" si="0"/>
        <v>0.60079166666666661</v>
      </c>
    </row>
    <row r="4" spans="1:8" ht="18" customHeight="1" x14ac:dyDescent="0.2">
      <c r="A4" s="17" t="str">
        <f>OVERALL!A4</f>
        <v>AGENT MASTERY SCORE</v>
      </c>
      <c r="B4" s="38">
        <f>IF(C2=0, "-", IF(COUNTIF(D39:F39, "n")=C2, "-", IF(COUNT(D4:F4)=0, "-", AVERAGE(D4:F4))))</f>
        <v>0.44861111111111113</v>
      </c>
      <c r="C4" s="58" t="s">
        <v>1</v>
      </c>
      <c r="D4" s="38">
        <f>IF(D48&lt;0%,0%,IF(D$2="-","-",IF(D$39="n", "-", SUM(D$6,D$12,D$17,D$23,D$28,D$34))))</f>
        <v>0.45833333333333337</v>
      </c>
      <c r="E4" s="38">
        <f t="shared" ref="E4:F4" si="1">IF(E48&lt;0%,0%,IF(E$2="-","-",IF(E$39="n", "-", SUM(E$6,E$12,E$17,E$23,E$28,E$34))))</f>
        <v>0.39583333333333337</v>
      </c>
      <c r="F4" s="38">
        <f t="shared" si="1"/>
        <v>0.4916666666666667</v>
      </c>
      <c r="H4" s="12" t="s">
        <v>8</v>
      </c>
    </row>
    <row r="5" spans="1:8" ht="18" customHeight="1" x14ac:dyDescent="0.25">
      <c r="A5" s="57" t="s">
        <v>46</v>
      </c>
      <c r="B5" s="58">
        <f>IF(B6="-","-",AVERAGE(D5:F5))</f>
        <v>0.44861111111111113</v>
      </c>
      <c r="C5" s="58" t="s">
        <v>1</v>
      </c>
      <c r="D5" s="60">
        <f t="shared" ref="D5:F5" si="2">IF(D$2="","",IF(D$39="n", "", SUM(D$6,D$12,D$17,D$23,D$28)))</f>
        <v>0.45833333333333337</v>
      </c>
      <c r="E5" s="60">
        <f t="shared" si="2"/>
        <v>0.39583333333333337</v>
      </c>
      <c r="F5" s="60">
        <f t="shared" si="2"/>
        <v>0.4916666666666667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6" t="s">
        <v>120</v>
      </c>
      <c r="E7" s="299" t="s">
        <v>120</v>
      </c>
      <c r="F7" s="299" t="s">
        <v>120</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v>
      </c>
      <c r="C9" s="26">
        <f>$C$2-COUNTIF(D9:F9, "-")</f>
        <v>3</v>
      </c>
      <c r="D9" s="296" t="s">
        <v>119</v>
      </c>
      <c r="E9" s="299" t="s">
        <v>119</v>
      </c>
      <c r="F9" s="299" t="s">
        <v>119</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0.13333333333333333</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119</v>
      </c>
      <c r="E13" s="299" t="s">
        <v>119</v>
      </c>
      <c r="F13" s="299" t="s">
        <v>119</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0.66666666666666663</v>
      </c>
      <c r="C15" s="26">
        <f>$C$2-COUNTIF(D15:F15, "-")</f>
        <v>3</v>
      </c>
      <c r="D15" s="296" t="s">
        <v>120</v>
      </c>
      <c r="E15" s="299" t="s">
        <v>120</v>
      </c>
      <c r="F15" s="299" t="s">
        <v>119</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0.41666666666666663</v>
      </c>
      <c r="C17" s="1" t="s">
        <v>1</v>
      </c>
      <c r="D17" s="29">
        <f>IF(D22=0,"-",(COUNTIF(D18:D21, "y")/D22)*OVERALL!$C$17)</f>
        <v>0.125</v>
      </c>
      <c r="E17" s="29">
        <f>IF(E22=0,"-",(COUNTIF(E18:E21, "y")/E22)*OVERALL!$C$17)</f>
        <v>6.25E-2</v>
      </c>
      <c r="F17" s="29">
        <f>IF(F22=0,"-",(COUNTIF(F18:F21, "y")/F22)*OVERALL!$C$17)</f>
        <v>0.125</v>
      </c>
      <c r="H17" s="9" t="s">
        <v>6</v>
      </c>
    </row>
    <row r="18" spans="1:11" ht="18" customHeight="1" x14ac:dyDescent="0.2">
      <c r="A18" s="33" t="str">
        <f>OVERALL!A18</f>
        <v>INFORM</v>
      </c>
      <c r="B18" s="3">
        <f>IF(C18=0,"-",COUNTIF(D18:F18,"y")/C18)</f>
        <v>0.33333333333333331</v>
      </c>
      <c r="C18" s="26">
        <f>$C$2-COUNTIF(D18:F18, "-")</f>
        <v>3</v>
      </c>
      <c r="D18" s="296" t="s">
        <v>120</v>
      </c>
      <c r="E18" s="299" t="s">
        <v>119</v>
      </c>
      <c r="F18" s="299" t="s">
        <v>119</v>
      </c>
    </row>
    <row r="19" spans="1:11" ht="18" customHeight="1" x14ac:dyDescent="0.2">
      <c r="A19" s="33" t="str">
        <f>OVERALL!A19</f>
        <v>CHECK</v>
      </c>
      <c r="B19" s="3">
        <f>IF(C19=0,"-",COUNTIF(D19:F19,"y")/C19)</f>
        <v>0</v>
      </c>
      <c r="C19" s="26">
        <f>$C$2-COUNTIF(D19:F19, "-")</f>
        <v>3</v>
      </c>
      <c r="D19" s="296" t="s">
        <v>119</v>
      </c>
      <c r="E19" s="299" t="s">
        <v>119</v>
      </c>
      <c r="F19" s="299" t="s">
        <v>119</v>
      </c>
    </row>
    <row r="20" spans="1:11" ht="18" customHeight="1" x14ac:dyDescent="0.2">
      <c r="A20" s="33" t="str">
        <f>OVERALL!A20</f>
        <v>SEEK</v>
      </c>
      <c r="B20" s="3">
        <f>IF(C20=0,"-",COUNTIF(D20:F20,"y")/C20)</f>
        <v>0.33333333333333331</v>
      </c>
      <c r="C20" s="26">
        <f>$C$2-COUNTIF(D20:F20, "-")</f>
        <v>3</v>
      </c>
      <c r="D20" s="296" t="s">
        <v>119</v>
      </c>
      <c r="E20" s="299" t="s">
        <v>119</v>
      </c>
      <c r="F20" s="299" t="s">
        <v>120</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296" t="s">
        <v>119</v>
      </c>
      <c r="E24" s="299" t="s">
        <v>119</v>
      </c>
      <c r="F24" s="299" t="s">
        <v>119</v>
      </c>
    </row>
    <row r="25" spans="1:11" ht="18" customHeight="1" x14ac:dyDescent="0.2">
      <c r="A25" s="33" t="str">
        <f>OVERALL!A25</f>
        <v>GRATITUDE</v>
      </c>
      <c r="B25" s="3">
        <f>IF(C25=0,"-",COUNTIF(D25:F25,"y")/C25)</f>
        <v>0</v>
      </c>
      <c r="C25" s="26">
        <f>$C$2-COUNTIF(D25:F25, "-")</f>
        <v>3</v>
      </c>
      <c r="D25" s="296" t="s">
        <v>119</v>
      </c>
      <c r="E25" s="299" t="s">
        <v>119</v>
      </c>
      <c r="F25" s="299" t="s">
        <v>119</v>
      </c>
    </row>
    <row r="26" spans="1:11" ht="18" customHeight="1" x14ac:dyDescent="0.2">
      <c r="A26" s="33" t="str">
        <f>OVERALL!A26</f>
        <v>THANKS</v>
      </c>
      <c r="B26" s="3">
        <f>IF(C26=0,"-",COUNTIF(D26:F26,"y")/C26)</f>
        <v>1</v>
      </c>
      <c r="C26" s="26">
        <f>$C$2-COUNTIF(D26:F26, "-")</f>
        <v>3</v>
      </c>
      <c r="D26" s="296" t="s">
        <v>120</v>
      </c>
      <c r="E26" s="299" t="s">
        <v>120</v>
      </c>
      <c r="F26" s="299"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0.1</v>
      </c>
      <c r="E28" s="29">
        <f>IF(E33=0,"-",(COUNTIF(E29:E32, "y")/E33)*OVERALL!$C$28)</f>
        <v>0.1</v>
      </c>
      <c r="F28" s="29">
        <f>IF(F33=0,"-",(COUNTIF(F29:F32, "y")/F33)*OVERALL!$C$28)</f>
        <v>0.2</v>
      </c>
    </row>
    <row r="29" spans="1:11" ht="18" customHeight="1" x14ac:dyDescent="0.2">
      <c r="A29" s="33" t="str">
        <f>OVERALL!A29</f>
        <v>VIBRANCY</v>
      </c>
      <c r="B29" s="3">
        <f>IF(C29=0,"-",COUNTIF(D29:F29,"y")/C29)</f>
        <v>1</v>
      </c>
      <c r="C29" s="26">
        <f>$C$2-COUNTIF(D29:F29, "-")</f>
        <v>3</v>
      </c>
      <c r="D29" s="296" t="s">
        <v>120</v>
      </c>
      <c r="E29" s="299" t="s">
        <v>120</v>
      </c>
      <c r="F29" s="299" t="s">
        <v>120</v>
      </c>
    </row>
    <row r="30" spans="1:11" ht="18" customHeight="1" x14ac:dyDescent="0.2">
      <c r="A30" s="33" t="str">
        <f>OVERALL!A30</f>
        <v>EMPATHY</v>
      </c>
      <c r="B30" s="3">
        <f>IF(C30=0,"-",COUNTIF(D30:F30,"y")/C30)</f>
        <v>0.33333333333333331</v>
      </c>
      <c r="C30" s="26">
        <f>$C$2-COUNTIF(D30:F30, "-")</f>
        <v>3</v>
      </c>
      <c r="D30" s="296" t="s">
        <v>119</v>
      </c>
      <c r="E30" s="299" t="s">
        <v>119</v>
      </c>
      <c r="F30" s="299" t="s">
        <v>120</v>
      </c>
    </row>
    <row r="31" spans="1:11" ht="18" customHeight="1" x14ac:dyDescent="0.2">
      <c r="A31" s="33" t="str">
        <f>OVERALL!A31</f>
        <v>CONTROL</v>
      </c>
      <c r="B31" s="3">
        <f>IF(C31=0,"-",COUNTIF(D31:F31,"y")/C31)</f>
        <v>1</v>
      </c>
      <c r="C31" s="26">
        <f>$C$2-COUNTIF(D31:F31, "-")</f>
        <v>3</v>
      </c>
      <c r="D31" s="296" t="s">
        <v>120</v>
      </c>
      <c r="E31" s="299" t="s">
        <v>120</v>
      </c>
      <c r="F31" s="299" t="s">
        <v>120</v>
      </c>
    </row>
    <row r="32" spans="1:11" ht="18" customHeight="1" x14ac:dyDescent="0.2">
      <c r="A32" s="33" t="str">
        <f>OVERALL!A32</f>
        <v>CLARITY</v>
      </c>
      <c r="B32" s="3">
        <f>IF(C32=0,"-",COUNTIF(D32:F32,"y")/C32)</f>
        <v>0.33333333333333331</v>
      </c>
      <c r="C32" s="26">
        <f>$C$2-COUNTIF(D32:F32, "-")</f>
        <v>3</v>
      </c>
      <c r="D32" s="296" t="s">
        <v>119</v>
      </c>
      <c r="E32" s="299" t="s">
        <v>119</v>
      </c>
      <c r="F32" s="299" t="s">
        <v>120</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96" t="s">
        <v>119</v>
      </c>
      <c r="E35" s="299" t="s">
        <v>119</v>
      </c>
      <c r="F35" s="299" t="s">
        <v>119</v>
      </c>
      <c r="H35" s="48">
        <v>-0.3</v>
      </c>
      <c r="J35" s="48"/>
      <c r="K35" s="48"/>
      <c r="L35" s="48"/>
    </row>
    <row r="36" spans="1:13" ht="18" customHeight="1" x14ac:dyDescent="0.2">
      <c r="A36" s="45" t="str">
        <f>OVERALL!A36</f>
        <v>AUDIO ISSUE (DISTRACTION)</v>
      </c>
      <c r="B36" s="3">
        <f>IF(C36=0,"-",COUNTIF(D36:F36,"y")/C36)</f>
        <v>0</v>
      </c>
      <c r="C36" s="26">
        <f>$C$2-COUNTIF(D36:F36, "-")</f>
        <v>3</v>
      </c>
      <c r="D36" s="296" t="s">
        <v>119</v>
      </c>
      <c r="E36" s="299" t="s">
        <v>119</v>
      </c>
      <c r="F36" s="299"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6" t="s">
        <v>120</v>
      </c>
      <c r="E39" s="299" t="s">
        <v>120</v>
      </c>
      <c r="F39" s="299" t="s">
        <v>120</v>
      </c>
    </row>
    <row r="40" spans="1:13" ht="18" customHeight="1" x14ac:dyDescent="0.2">
      <c r="A40" s="33" t="str">
        <f>OVERALL!A40</f>
        <v>TALK TIME</v>
      </c>
      <c r="B40" s="286">
        <f>IF(C40=0,"-",AVERAGE(D40:F40))</f>
        <v>2.5462962962962965E-3</v>
      </c>
      <c r="C40" s="26">
        <f>$C$2-COUNTIF(D40:F40, "-")</f>
        <v>3</v>
      </c>
      <c r="D40" s="286">
        <v>1.2847222222222223E-3</v>
      </c>
      <c r="E40" s="286">
        <v>5.115740740740741E-3</v>
      </c>
      <c r="F40" s="286">
        <v>1.238425925925926E-3</v>
      </c>
      <c r="G40" s="46"/>
      <c r="H40" s="261"/>
      <c r="I40" s="261"/>
      <c r="J40" s="261"/>
      <c r="K40" s="261"/>
      <c r="L40" s="261"/>
      <c r="M40" s="261"/>
    </row>
    <row r="41" spans="1:13" ht="18" customHeight="1" x14ac:dyDescent="0.2">
      <c r="A41" s="33" t="str">
        <f>OVERALL!A41</f>
        <v>ASSESSOR RATING (0-10)</v>
      </c>
      <c r="B41" s="259">
        <f>IF(C41=0,"-",SUM(D41:F41)/C41)</f>
        <v>3.6666666666666665</v>
      </c>
      <c r="C41" s="26">
        <f>$C$2-COUNTIF(D41:F41, "-")</f>
        <v>3</v>
      </c>
      <c r="D41" s="278">
        <v>4</v>
      </c>
      <c r="E41" s="278">
        <v>3</v>
      </c>
      <c r="F41" s="278">
        <v>4</v>
      </c>
    </row>
    <row r="42" spans="1:13" ht="18" customHeight="1" x14ac:dyDescent="0.2">
      <c r="A42" s="33" t="str">
        <f>OVERALL!A42</f>
        <v>EXPLAINED KEY FEATURES</v>
      </c>
      <c r="B42" s="3">
        <f>IF(C42=0,"-",COUNTIF(D42:F42, "y")/C42)</f>
        <v>0</v>
      </c>
      <c r="C42" s="26">
        <f>$C$2-COUNTIF(D42:F42, "-")</f>
        <v>3</v>
      </c>
      <c r="D42" s="296" t="s">
        <v>119</v>
      </c>
      <c r="E42" s="299" t="s">
        <v>119</v>
      </c>
      <c r="F42" s="299" t="s">
        <v>119</v>
      </c>
      <c r="G42" s="47"/>
      <c r="H42" t="s">
        <v>1</v>
      </c>
    </row>
    <row r="43" spans="1:13" ht="18" customHeight="1" x14ac:dyDescent="0.2">
      <c r="A43" s="33" t="str">
        <f>OVERALL!A43</f>
        <v>REVEALED PRICING</v>
      </c>
      <c r="B43" s="3">
        <f>IF(C43=0,"-",COUNTIF(D43:F43, "y")/C43)</f>
        <v>0</v>
      </c>
      <c r="C43" s="26">
        <f>$C$2-COUNTIF(D43:F43, "-")</f>
        <v>3</v>
      </c>
      <c r="D43" s="296" t="s">
        <v>119</v>
      </c>
      <c r="E43" s="299" t="s">
        <v>119</v>
      </c>
      <c r="F43" s="299" t="s">
        <v>119</v>
      </c>
    </row>
    <row r="44" spans="1:13" ht="18" customHeight="1" x14ac:dyDescent="0.2">
      <c r="A44" s="33" t="str">
        <f>OVERALL!A44</f>
        <v>EXPLAINED ACTIONS &amp; PROCESS</v>
      </c>
      <c r="B44" s="3">
        <f>IF(C44=0,"-",COUNTIF(D44:F44, "y")/C44)</f>
        <v>0.66666666666666663</v>
      </c>
      <c r="C44" s="26">
        <f>$C$2-COUNTIF(D44:F44, "-")</f>
        <v>3</v>
      </c>
      <c r="D44" s="296" t="s">
        <v>120</v>
      </c>
      <c r="E44" s="299" t="s">
        <v>120</v>
      </c>
      <c r="F44" s="299" t="s">
        <v>119</v>
      </c>
    </row>
    <row r="45" spans="1:13" ht="18" customHeight="1" x14ac:dyDescent="0.2">
      <c r="A45" s="33" t="str">
        <f>OVERALL!A45</f>
        <v>WEBSITE EDUCATION</v>
      </c>
      <c r="B45" s="3">
        <f>IF(C45=0,"-",COUNTIF(D45:F45, "y")/C45)</f>
        <v>0</v>
      </c>
      <c r="C45" s="26">
        <f>$C$2-COUNTIF(D45:F45, "-")</f>
        <v>3</v>
      </c>
      <c r="D45" s="296" t="s">
        <v>119</v>
      </c>
      <c r="E45" s="299" t="s">
        <v>119</v>
      </c>
      <c r="F45" s="299" t="s">
        <v>119</v>
      </c>
    </row>
    <row r="46" spans="1:13" ht="18" customHeight="1" x14ac:dyDescent="0.2">
      <c r="A46" s="18"/>
      <c r="B46" s="3"/>
      <c r="C46" s="26"/>
      <c r="D46" s="259"/>
      <c r="E46" s="259"/>
      <c r="F46" s="259"/>
    </row>
    <row r="47" spans="1:13" ht="150" x14ac:dyDescent="0.2">
      <c r="A47" s="25" t="s">
        <v>1</v>
      </c>
      <c r="B47" s="350" t="s">
        <v>35</v>
      </c>
      <c r="C47" s="351"/>
      <c r="D47" s="23" t="s">
        <v>126</v>
      </c>
      <c r="E47" s="23" t="s">
        <v>152</v>
      </c>
      <c r="F47" s="23" t="s">
        <v>138</v>
      </c>
    </row>
    <row r="48" spans="1:13" ht="18" customHeight="1" x14ac:dyDescent="0.2">
      <c r="A48" s="59" t="s">
        <v>45</v>
      </c>
      <c r="D48" s="50">
        <f t="shared" ref="D48:F48" si="9">IF(D$2="","",IF(D$39="n", "", SUM(D$6,D$12,D$17,D$23,D$28,D$34)))</f>
        <v>0.45833333333333337</v>
      </c>
      <c r="E48" s="50">
        <f t="shared" si="9"/>
        <v>0.39583333333333337</v>
      </c>
      <c r="F48" s="50">
        <f t="shared" si="9"/>
        <v>0.4916666666666667</v>
      </c>
    </row>
    <row r="50" spans="1:6" ht="19" x14ac:dyDescent="0.25">
      <c r="A50" s="110" t="s">
        <v>72</v>
      </c>
      <c r="B50" s="90" t="s">
        <v>73</v>
      </c>
    </row>
    <row r="51" spans="1:6" x14ac:dyDescent="0.2">
      <c r="A51" s="111" t="s">
        <v>61</v>
      </c>
      <c r="B51" s="112">
        <v>0.3</v>
      </c>
      <c r="C51" s="111"/>
      <c r="D51" s="252">
        <f>[1]BOLTON_CLARKE!D$4</f>
        <v>0.7616666666666666</v>
      </c>
      <c r="E51" s="252">
        <f>[1]BOLTON_CLARKE!E$4</f>
        <v>0.89708333333333334</v>
      </c>
      <c r="F51" s="252">
        <f>[1]BOLTON_CLARKE!F$4</f>
        <v>0.8554166666666666</v>
      </c>
    </row>
    <row r="52" spans="1:6" x14ac:dyDescent="0.2">
      <c r="A52" s="111" t="s">
        <v>62</v>
      </c>
      <c r="B52" s="112">
        <v>0.7</v>
      </c>
      <c r="C52" s="111"/>
      <c r="D52" s="253">
        <f t="shared" ref="D52:F52" si="10">D4</f>
        <v>0.45833333333333337</v>
      </c>
      <c r="E52" s="253">
        <f t="shared" si="10"/>
        <v>0.39583333333333337</v>
      </c>
      <c r="F52" s="253">
        <f t="shared" si="10"/>
        <v>0.4916666666666667</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0.22849999999999998</v>
      </c>
      <c r="E55" s="253">
        <f t="shared" ref="E55:F55" si="11">IF(E51="-","-",E51*$B$51)</f>
        <v>0.269125</v>
      </c>
      <c r="F55" s="253">
        <f t="shared" si="11"/>
        <v>0.25662499999999999</v>
      </c>
    </row>
    <row r="56" spans="1:6" x14ac:dyDescent="0.2">
      <c r="A56" s="111" t="s">
        <v>62</v>
      </c>
      <c r="B56" s="111"/>
      <c r="C56" s="111"/>
      <c r="D56" s="253">
        <f t="shared" ref="D56:F56" si="12">IF(D52="-","-",D52*$B$52)</f>
        <v>0.32083333333333336</v>
      </c>
      <c r="E56" s="253">
        <f t="shared" si="12"/>
        <v>0.27708333333333335</v>
      </c>
      <c r="F56" s="253">
        <f t="shared" si="12"/>
        <v>0.34416666666666668</v>
      </c>
    </row>
    <row r="57" spans="1:6" x14ac:dyDescent="0.2">
      <c r="A57" s="114" t="s">
        <v>57</v>
      </c>
      <c r="B57" s="114"/>
      <c r="C57" s="114"/>
      <c r="D57" s="115">
        <f t="shared" ref="D57:F57" si="13">IF(D51="","",IF(D52="","",SUM(D55:D56)))</f>
        <v>0.54933333333333334</v>
      </c>
      <c r="E57" s="115">
        <f t="shared" si="13"/>
        <v>0.54620833333333341</v>
      </c>
      <c r="F57" s="115">
        <f t="shared" si="13"/>
        <v>0.60079166666666661</v>
      </c>
    </row>
  </sheetData>
  <mergeCells count="2">
    <mergeCell ref="A38:B38"/>
    <mergeCell ref="B47:C47"/>
  </mergeCells>
  <conditionalFormatting sqref="B4 D4:F4">
    <cfRule type="containsBlanks" dxfId="60" priority="6">
      <formula>LEN(TRIM(B4))=0</formula>
    </cfRule>
    <cfRule type="cellIs" dxfId="59" priority="7" operator="greaterThanOrEqual">
      <formula>0.905</formula>
    </cfRule>
    <cfRule type="cellIs" dxfId="58" priority="8" operator="between">
      <formula>0.754999</formula>
      <formula>0.905</formula>
    </cfRule>
    <cfRule type="cellIs" dxfId="57" priority="9" operator="between">
      <formula>0.604999</formula>
      <formula>0.754999</formula>
    </cfRule>
    <cfRule type="cellIs" dxfId="56" priority="10" operator="between">
      <formula>0.44999</formula>
      <formula>0.605</formula>
    </cfRule>
    <cfRule type="cellIs" dxfId="55" priority="11" operator="lessThan">
      <formula>0.45</formula>
    </cfRule>
  </conditionalFormatting>
  <conditionalFormatting sqref="B6">
    <cfRule type="containsText" dxfId="54" priority="5" operator="containsText" text="NA">
      <formula>NOT(ISERROR(SEARCH("NA",B6)))</formula>
    </cfRule>
  </conditionalFormatting>
  <conditionalFormatting sqref="B12">
    <cfRule type="containsText" dxfId="53" priority="4" operator="containsText" text="NA">
      <formula>NOT(ISERROR(SEARCH("NA",B12)))</formula>
    </cfRule>
  </conditionalFormatting>
  <conditionalFormatting sqref="B17">
    <cfRule type="containsText" dxfId="52" priority="3" operator="containsText" text="NA">
      <formula>NOT(ISERROR(SEARCH("NA",B17)))</formula>
    </cfRule>
  </conditionalFormatting>
  <conditionalFormatting sqref="B23">
    <cfRule type="containsText" dxfId="51" priority="2" operator="containsText" text="NA">
      <formula>NOT(ISERROR(SEARCH("NA",B23)))</formula>
    </cfRule>
  </conditionalFormatting>
  <conditionalFormatting sqref="B28">
    <cfRule type="containsText" dxfId="50" priority="1" operator="containsText" text="NA">
      <formula>NOT(ISERROR(SEARCH("NA",B28)))</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4" sqref="F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127</v>
      </c>
      <c r="E2" s="300" t="s">
        <v>153</v>
      </c>
      <c r="F2" s="305" t="s">
        <v>160</v>
      </c>
    </row>
    <row r="3" spans="1:8" ht="19" x14ac:dyDescent="0.2">
      <c r="A3" s="32" t="str">
        <f>OVERALL!G1</f>
        <v>HAMMONDCARE</v>
      </c>
      <c r="B3" s="244">
        <f>OVERALL!F3</f>
        <v>0.56544444444444442</v>
      </c>
      <c r="C3" s="108" t="s">
        <v>71</v>
      </c>
      <c r="D3" s="109">
        <f>IF(D2="-","-",D57)</f>
        <v>0.65333333333333332</v>
      </c>
      <c r="E3" s="109">
        <f t="shared" ref="E3:F3" si="0">IF(E2="-","-",E57)</f>
        <v>0.59083333333333332</v>
      </c>
      <c r="F3" s="109">
        <f t="shared" si="0"/>
        <v>0.70374999999999999</v>
      </c>
    </row>
    <row r="4" spans="1:8" ht="18" customHeight="1" x14ac:dyDescent="0.2">
      <c r="A4" s="17" t="str">
        <f>OVERALL!A4</f>
        <v>AGENT MASTERY SCORE</v>
      </c>
      <c r="B4" s="38">
        <f>IF(C2=0, "-", IF(COUNTIF(D39:F39, "n")=C2, "-", IF(COUNT(D4:F4)=0, "-", AVERAGE(D4:F4))))</f>
        <v>0.59722222222222221</v>
      </c>
      <c r="C4" s="58" t="s">
        <v>1</v>
      </c>
      <c r="D4" s="38">
        <f>IF(D48&lt;0%,0%,IF(D$2="-","-",IF(D$39="n", "-", SUM(D$6,D$12,D$17,D$23,D$28,D$34))))</f>
        <v>0.55833333333333335</v>
      </c>
      <c r="E4" s="38">
        <f t="shared" ref="E4:F4" si="1">IF(E48&lt;0%,0%,IF(E$2="-","-",IF(E$39="n", "-", SUM(E$6,E$12,E$17,E$23,E$28,E$34))))</f>
        <v>0.49583333333333335</v>
      </c>
      <c r="F4" s="38">
        <f t="shared" si="1"/>
        <v>0.73750000000000004</v>
      </c>
      <c r="H4" s="12" t="s">
        <v>8</v>
      </c>
    </row>
    <row r="5" spans="1:8" ht="18" customHeight="1" x14ac:dyDescent="0.25">
      <c r="A5" s="57" t="s">
        <v>46</v>
      </c>
      <c r="B5" s="58">
        <f>IF(B6="-","-",AVERAGE(D5:F5))</f>
        <v>0.59722222222222221</v>
      </c>
      <c r="C5" s="58" t="s">
        <v>1</v>
      </c>
      <c r="D5" s="60">
        <f t="shared" ref="D5:F5" si="2">IF(D$2="","",IF(D$39="n", "", SUM(D$6,D$12,D$17,D$23,D$28)))</f>
        <v>0.55833333333333335</v>
      </c>
      <c r="E5" s="60">
        <f t="shared" si="2"/>
        <v>0.49583333333333335</v>
      </c>
      <c r="F5" s="60">
        <f t="shared" si="2"/>
        <v>0.73750000000000004</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296" t="s">
        <v>120</v>
      </c>
      <c r="E7" s="299" t="s">
        <v>120</v>
      </c>
      <c r="F7" s="304" t="s">
        <v>120</v>
      </c>
      <c r="H7" s="11" t="s">
        <v>2</v>
      </c>
    </row>
    <row r="8" spans="1:8" ht="18" customHeight="1" x14ac:dyDescent="0.25">
      <c r="A8" s="33" t="str">
        <f>OVERALL!A8</f>
        <v>INTENT</v>
      </c>
      <c r="B8" s="3">
        <f>IF(C8=0,"-",COUNTIF(D8:F8,"y")/C8)</f>
        <v>0</v>
      </c>
      <c r="C8" s="26">
        <f>$C$2-COUNTIF(D8:F8, "-")</f>
        <v>3</v>
      </c>
      <c r="D8" s="296" t="s">
        <v>119</v>
      </c>
      <c r="E8" s="299" t="s">
        <v>119</v>
      </c>
      <c r="F8" s="304" t="s">
        <v>119</v>
      </c>
      <c r="H8" s="7" t="s">
        <v>15</v>
      </c>
    </row>
    <row r="9" spans="1:8" ht="18" customHeight="1" x14ac:dyDescent="0.2">
      <c r="A9" s="33" t="str">
        <f>OVERALL!A9</f>
        <v>NAME</v>
      </c>
      <c r="B9" s="3">
        <f>IF(C9=0,"-",COUNTIF(D9:F9,"y")/C9)</f>
        <v>0.33333333333333331</v>
      </c>
      <c r="C9" s="26">
        <f>$C$2-COUNTIF(D9:F9, "-")</f>
        <v>3</v>
      </c>
      <c r="D9" s="296" t="s">
        <v>119</v>
      </c>
      <c r="E9" s="299" t="s">
        <v>119</v>
      </c>
      <c r="F9" s="304" t="s">
        <v>120</v>
      </c>
      <c r="H9" t="s">
        <v>1</v>
      </c>
    </row>
    <row r="10" spans="1:8" ht="18" customHeight="1" x14ac:dyDescent="0.2">
      <c r="A10" s="33" t="str">
        <f>OVERALL!A10</f>
        <v>BRIDGE</v>
      </c>
      <c r="B10" s="3">
        <f>IF(C10=0,"-",COUNTIF(D10:F10,"y")/C10)</f>
        <v>0</v>
      </c>
      <c r="C10" s="26">
        <f>$C$2-COUNTIF(D10:F10, "-")</f>
        <v>3</v>
      </c>
      <c r="D10" s="296" t="s">
        <v>119</v>
      </c>
      <c r="E10" s="299" t="s">
        <v>119</v>
      </c>
      <c r="F10" s="304"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0.77777777777777768</v>
      </c>
      <c r="C12" s="1" t="s">
        <v>1</v>
      </c>
      <c r="D12" s="28">
        <f>IF(D16=0,"-",(COUNTIF(D13:D15, "y")/D16)*OVERALL!$C$12)</f>
        <v>0.13333333333333333</v>
      </c>
      <c r="E12" s="28">
        <f>IF(E16=0,"-",(COUNTIF(E13:E15, "y")/E16)*OVERALL!$C$12)</f>
        <v>0.13333333333333333</v>
      </c>
      <c r="F12" s="28">
        <f>IF(F16=0,"-",(COUNTIF(F13:F15, "y")/F16)*OVERALL!$C$12)</f>
        <v>0.2</v>
      </c>
      <c r="H12" t="s">
        <v>1</v>
      </c>
    </row>
    <row r="13" spans="1:8" ht="18" customHeight="1" x14ac:dyDescent="0.2">
      <c r="A13" s="33" t="str">
        <f>OVERALL!A13</f>
        <v>CONVERSE</v>
      </c>
      <c r="B13" s="3">
        <f>IF(C13=0,"-",COUNTIF(D13:F13,"y")/C13)</f>
        <v>0.33333333333333331</v>
      </c>
      <c r="C13" s="26">
        <f>$C$2-COUNTIF(D13:F13, "-")</f>
        <v>3</v>
      </c>
      <c r="D13" s="296" t="s">
        <v>119</v>
      </c>
      <c r="E13" s="299" t="s">
        <v>119</v>
      </c>
      <c r="F13" s="304" t="s">
        <v>120</v>
      </c>
      <c r="H13" s="14" t="s">
        <v>4</v>
      </c>
    </row>
    <row r="14" spans="1:8" ht="18" customHeight="1" x14ac:dyDescent="0.25">
      <c r="A14" s="33" t="str">
        <f>OVERALL!A14</f>
        <v>LISTEN</v>
      </c>
      <c r="B14" s="3">
        <f>IF(C14=0,"-",COUNTIF(D14:F14,"y")/C14)</f>
        <v>1</v>
      </c>
      <c r="C14" s="26">
        <f>$C$2-COUNTIF(D14:F14, "-")</f>
        <v>3</v>
      </c>
      <c r="D14" s="296" t="s">
        <v>120</v>
      </c>
      <c r="E14" s="299" t="s">
        <v>120</v>
      </c>
      <c r="F14" s="304" t="s">
        <v>120</v>
      </c>
      <c r="H14" s="9" t="s">
        <v>13</v>
      </c>
    </row>
    <row r="15" spans="1:8" ht="18" customHeight="1" x14ac:dyDescent="0.2">
      <c r="A15" s="33" t="str">
        <f>OVERALL!A15</f>
        <v>CONFIRM</v>
      </c>
      <c r="B15" s="3">
        <f>IF(C15=0,"-",COUNTIF(D15:F15,"y")/C15)</f>
        <v>1</v>
      </c>
      <c r="C15" s="26">
        <f>$C$2-COUNTIF(D15:F15, "-")</f>
        <v>3</v>
      </c>
      <c r="D15" s="296" t="s">
        <v>120</v>
      </c>
      <c r="E15" s="299" t="s">
        <v>120</v>
      </c>
      <c r="F15" s="304" t="s">
        <v>120</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6.25E-2</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6" t="s">
        <v>120</v>
      </c>
      <c r="E18" s="299" t="s">
        <v>119</v>
      </c>
      <c r="F18" s="304" t="s">
        <v>120</v>
      </c>
    </row>
    <row r="19" spans="1:11" ht="18" customHeight="1" x14ac:dyDescent="0.2">
      <c r="A19" s="33" t="str">
        <f>OVERALL!A19</f>
        <v>CHECK</v>
      </c>
      <c r="B19" s="3">
        <f>IF(C19=0,"-",COUNTIF(D19:F19,"y")/C19)</f>
        <v>0</v>
      </c>
      <c r="C19" s="26">
        <f>$C$2-COUNTIF(D19:F19, "-")</f>
        <v>3</v>
      </c>
      <c r="D19" s="296" t="s">
        <v>119</v>
      </c>
      <c r="E19" s="299" t="s">
        <v>119</v>
      </c>
      <c r="F19" s="304" t="s">
        <v>119</v>
      </c>
    </row>
    <row r="20" spans="1:11" ht="18" customHeight="1" x14ac:dyDescent="0.2">
      <c r="A20" s="33" t="str">
        <f>OVERALL!A20</f>
        <v>SEEK</v>
      </c>
      <c r="B20" s="3">
        <f>IF(C20=0,"-",COUNTIF(D20:F20,"y")/C20)</f>
        <v>0.33333333333333331</v>
      </c>
      <c r="C20" s="26">
        <f>$C$2-COUNTIF(D20:F20, "-")</f>
        <v>3</v>
      </c>
      <c r="D20" s="296" t="s">
        <v>119</v>
      </c>
      <c r="E20" s="299" t="s">
        <v>119</v>
      </c>
      <c r="F20" s="304" t="s">
        <v>120</v>
      </c>
      <c r="H20" t="s">
        <v>1</v>
      </c>
    </row>
    <row r="21" spans="1:11" ht="18" customHeight="1" x14ac:dyDescent="0.2">
      <c r="A21" s="33" t="str">
        <f>OVERALL!A21</f>
        <v>CONFIDENCE</v>
      </c>
      <c r="B21" s="3">
        <f>IF(C21=0,"-",COUNTIF(D21:F21,"y")/C21)</f>
        <v>1</v>
      </c>
      <c r="C21" s="26">
        <f>$C$2-COUNTIF(D21:F21, "-")</f>
        <v>3</v>
      </c>
      <c r="D21" s="296" t="s">
        <v>120</v>
      </c>
      <c r="E21" s="299" t="s">
        <v>120</v>
      </c>
      <c r="F21" s="304"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v>
      </c>
      <c r="C24" s="26">
        <f>$C$2-COUNTIF(D24:F24, "-")</f>
        <v>3</v>
      </c>
      <c r="D24" s="296" t="s">
        <v>119</v>
      </c>
      <c r="E24" s="299" t="s">
        <v>119</v>
      </c>
      <c r="F24" s="279" t="s">
        <v>119</v>
      </c>
    </row>
    <row r="25" spans="1:11" ht="18" customHeight="1" x14ac:dyDescent="0.2">
      <c r="A25" s="33" t="str">
        <f>OVERALL!A25</f>
        <v>GRATITUDE</v>
      </c>
      <c r="B25" s="3">
        <f>IF(C25=0,"-",COUNTIF(D25:F25,"y")/C25)</f>
        <v>0.66666666666666663</v>
      </c>
      <c r="C25" s="26">
        <f>$C$2-COUNTIF(D25:F25, "-")</f>
        <v>3</v>
      </c>
      <c r="D25" s="296" t="s">
        <v>120</v>
      </c>
      <c r="E25" s="299" t="s">
        <v>120</v>
      </c>
      <c r="F25" s="280" t="s">
        <v>119</v>
      </c>
    </row>
    <row r="26" spans="1:11" ht="18" customHeight="1" x14ac:dyDescent="0.2">
      <c r="A26" s="33" t="str">
        <f>OVERALL!A26</f>
        <v>THANKS</v>
      </c>
      <c r="B26" s="3">
        <f>IF(C26=0,"-",COUNTIF(D26:F26,"y")/C26)</f>
        <v>1</v>
      </c>
      <c r="C26" s="26">
        <f>$C$2-COUNTIF(D26:F26, "-")</f>
        <v>3</v>
      </c>
      <c r="D26" s="296" t="s">
        <v>120</v>
      </c>
      <c r="E26" s="299" t="s">
        <v>120</v>
      </c>
      <c r="F26" s="280"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0.83333333333333337</v>
      </c>
      <c r="C28" s="1" t="s">
        <v>1</v>
      </c>
      <c r="D28" s="29">
        <f>IF(D33=0,"-",(COUNTIF(D29:D32, "y")/D33)*OVERALL!$C$28)</f>
        <v>0.15000000000000002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6" t="s">
        <v>120</v>
      </c>
      <c r="E29" s="299" t="s">
        <v>120</v>
      </c>
      <c r="F29" s="279" t="s">
        <v>120</v>
      </c>
    </row>
    <row r="30" spans="1:11" ht="18" customHeight="1" x14ac:dyDescent="0.2">
      <c r="A30" s="33" t="str">
        <f>OVERALL!A30</f>
        <v>EMPATHY</v>
      </c>
      <c r="B30" s="3">
        <f>IF(C30=0,"-",COUNTIF(D30:F30,"y")/C30)</f>
        <v>1</v>
      </c>
      <c r="C30" s="26">
        <f>$C$2-COUNTIF(D30:F30, "-")</f>
        <v>3</v>
      </c>
      <c r="D30" s="296" t="s">
        <v>120</v>
      </c>
      <c r="E30" s="299" t="s">
        <v>120</v>
      </c>
      <c r="F30" s="280" t="s">
        <v>120</v>
      </c>
    </row>
    <row r="31" spans="1:11" ht="18" customHeight="1" x14ac:dyDescent="0.2">
      <c r="A31" s="33" t="str">
        <f>OVERALL!A31</f>
        <v>CONTROL</v>
      </c>
      <c r="B31" s="3">
        <f>IF(C31=0,"-",COUNTIF(D31:F31,"y")/C31)</f>
        <v>1</v>
      </c>
      <c r="C31" s="26">
        <f>$C$2-COUNTIF(D31:F31, "-")</f>
        <v>3</v>
      </c>
      <c r="D31" s="296" t="s">
        <v>120</v>
      </c>
      <c r="E31" s="299" t="s">
        <v>120</v>
      </c>
      <c r="F31" s="280" t="s">
        <v>120</v>
      </c>
    </row>
    <row r="32" spans="1:11" ht="18" customHeight="1" x14ac:dyDescent="0.2">
      <c r="A32" s="33" t="str">
        <f>OVERALL!A32</f>
        <v>CLARITY</v>
      </c>
      <c r="B32" s="3">
        <f>IF(C32=0,"-",COUNTIF(D32:F32,"y")/C32)</f>
        <v>0.33333333333333331</v>
      </c>
      <c r="C32" s="26">
        <f>$C$2-COUNTIF(D32:F32, "-")</f>
        <v>3</v>
      </c>
      <c r="D32" s="296" t="s">
        <v>119</v>
      </c>
      <c r="E32" s="299" t="s">
        <v>119</v>
      </c>
      <c r="F32" s="304" t="s">
        <v>120</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79" t="s">
        <v>119</v>
      </c>
      <c r="E35" s="281" t="s">
        <v>119</v>
      </c>
      <c r="F35" s="281" t="s">
        <v>119</v>
      </c>
      <c r="H35" s="48">
        <v>-0.3</v>
      </c>
      <c r="J35" s="48"/>
      <c r="K35" s="48"/>
      <c r="L35" s="48"/>
    </row>
    <row r="36" spans="1:13" ht="18" customHeight="1" x14ac:dyDescent="0.2">
      <c r="A36" s="45" t="str">
        <f>OVERALL!A36</f>
        <v>AUDIO ISSUE (DISTRACTION)</v>
      </c>
      <c r="B36" s="3">
        <f>IF(C36=0,"-",COUNTIF(D36:F36,"y")/C36)</f>
        <v>0</v>
      </c>
      <c r="C36" s="26">
        <f>$C$2-COUNTIF(D36:F36, "-")</f>
        <v>3</v>
      </c>
      <c r="D36" s="280" t="s">
        <v>119</v>
      </c>
      <c r="E36" s="282" t="s">
        <v>119</v>
      </c>
      <c r="F36" s="282"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6" t="s">
        <v>120</v>
      </c>
      <c r="E39" s="299" t="s">
        <v>120</v>
      </c>
      <c r="F39" s="304" t="s">
        <v>120</v>
      </c>
    </row>
    <row r="40" spans="1:13" ht="18" customHeight="1" x14ac:dyDescent="0.2">
      <c r="A40" s="33" t="str">
        <f>OVERALL!A40</f>
        <v>TALK TIME</v>
      </c>
      <c r="B40" s="286">
        <f>IF(C40=0,"-",AVERAGE(D40:F40))</f>
        <v>2.2492283950617284E-3</v>
      </c>
      <c r="C40" s="26">
        <f>$C$2-COUNTIF(D40:F40, "-")</f>
        <v>3</v>
      </c>
      <c r="D40" s="286">
        <v>1.9212962962962964E-3</v>
      </c>
      <c r="E40" s="286">
        <v>1.4236111111111112E-3</v>
      </c>
      <c r="F40" s="286">
        <v>3.4027777777777776E-3</v>
      </c>
      <c r="G40" s="46"/>
      <c r="H40" s="261"/>
      <c r="I40" s="261"/>
      <c r="J40" s="261"/>
      <c r="K40" s="261"/>
      <c r="L40" s="261"/>
      <c r="M40" s="261"/>
    </row>
    <row r="41" spans="1:13" ht="18" customHeight="1" x14ac:dyDescent="0.2">
      <c r="A41" s="33" t="str">
        <f>OVERALL!A41</f>
        <v>ASSESSOR RATING (0-10)</v>
      </c>
      <c r="B41" s="259">
        <f>IF(C41=0,"-",SUM(D41:F41)/C41)</f>
        <v>5.666666666666667</v>
      </c>
      <c r="C41" s="26">
        <f>$C$2-COUNTIF(D41:F41, "-")</f>
        <v>3</v>
      </c>
      <c r="D41" s="278">
        <v>5</v>
      </c>
      <c r="E41" s="278">
        <v>5</v>
      </c>
      <c r="F41" s="278">
        <v>7</v>
      </c>
    </row>
    <row r="42" spans="1:13" ht="18" customHeight="1" x14ac:dyDescent="0.2">
      <c r="A42" s="33" t="str">
        <f>OVERALL!A42</f>
        <v>EXPLAINED KEY FEATURES</v>
      </c>
      <c r="B42" s="3">
        <f>IF(C42=0,"-",COUNTIF(D42:F42, "y")/C42)</f>
        <v>0</v>
      </c>
      <c r="C42" s="26">
        <f>$C$2-COUNTIF(D42:F42, "-")</f>
        <v>3</v>
      </c>
      <c r="D42" s="296" t="s">
        <v>119</v>
      </c>
      <c r="E42" s="299" t="s">
        <v>119</v>
      </c>
      <c r="F42" s="304" t="s">
        <v>119</v>
      </c>
      <c r="G42" s="47"/>
      <c r="H42" t="s">
        <v>1</v>
      </c>
    </row>
    <row r="43" spans="1:13" ht="18" customHeight="1" x14ac:dyDescent="0.2">
      <c r="A43" s="33" t="str">
        <f>OVERALL!A43</f>
        <v>REVEALED PRICING</v>
      </c>
      <c r="B43" s="3">
        <f>IF(C43=0,"-",COUNTIF(D43:F43, "y")/C43)</f>
        <v>0</v>
      </c>
      <c r="C43" s="26">
        <f>$C$2-COUNTIF(D43:F43, "-")</f>
        <v>3</v>
      </c>
      <c r="D43" s="296" t="s">
        <v>119</v>
      </c>
      <c r="E43" s="299" t="s">
        <v>119</v>
      </c>
      <c r="F43" s="304" t="s">
        <v>119</v>
      </c>
    </row>
    <row r="44" spans="1:13" ht="18" customHeight="1" x14ac:dyDescent="0.2">
      <c r="A44" s="33" t="str">
        <f>OVERALL!A44</f>
        <v>EXPLAINED ACTIONS &amp; PROCESS</v>
      </c>
      <c r="B44" s="3">
        <f>IF(C44=0,"-",COUNTIF(D44:F44, "y")/C44)</f>
        <v>1</v>
      </c>
      <c r="C44" s="26">
        <f>$C$2-COUNTIF(D44:F44, "-")</f>
        <v>3</v>
      </c>
      <c r="D44" s="296" t="s">
        <v>120</v>
      </c>
      <c r="E44" s="299" t="s">
        <v>120</v>
      </c>
      <c r="F44" s="304" t="s">
        <v>120</v>
      </c>
    </row>
    <row r="45" spans="1:13" ht="18" customHeight="1" x14ac:dyDescent="0.2">
      <c r="A45" s="33" t="str">
        <f>OVERALL!A45</f>
        <v>WEBSITE EDUCATION</v>
      </c>
      <c r="B45" s="3">
        <f>IF(C45=0,"-",COUNTIF(D45:F45, "y")/C45)</f>
        <v>0</v>
      </c>
      <c r="C45" s="26">
        <f>$C$2-COUNTIF(D45:F45, "-")</f>
        <v>3</v>
      </c>
      <c r="D45" s="296" t="s">
        <v>119</v>
      </c>
      <c r="E45" s="299" t="s">
        <v>119</v>
      </c>
      <c r="F45" s="304" t="s">
        <v>119</v>
      </c>
    </row>
    <row r="46" spans="1:13" ht="18" customHeight="1" x14ac:dyDescent="0.2">
      <c r="A46" s="18"/>
      <c r="B46" s="3"/>
      <c r="C46" s="26"/>
      <c r="D46" s="259"/>
      <c r="E46" s="259"/>
      <c r="F46" s="259"/>
    </row>
    <row r="47" spans="1:13" ht="90" x14ac:dyDescent="0.2">
      <c r="A47" s="25" t="s">
        <v>1</v>
      </c>
      <c r="B47" s="350" t="s">
        <v>35</v>
      </c>
      <c r="C47" s="351"/>
      <c r="D47" s="23" t="s">
        <v>128</v>
      </c>
      <c r="E47" s="23" t="s">
        <v>154</v>
      </c>
      <c r="F47" s="23" t="s">
        <v>161</v>
      </c>
    </row>
    <row r="48" spans="1:13" ht="18" customHeight="1" x14ac:dyDescent="0.2">
      <c r="A48" s="59" t="s">
        <v>45</v>
      </c>
      <c r="D48" s="50">
        <f t="shared" ref="D48:F48" si="9">IF(D$2="","",IF(D$39="n", "", SUM(D$6,D$12,D$17,D$23,D$28,D$34)))</f>
        <v>0.55833333333333335</v>
      </c>
      <c r="E48" s="50">
        <f t="shared" si="9"/>
        <v>0.49583333333333335</v>
      </c>
      <c r="F48" s="50">
        <f t="shared" si="9"/>
        <v>0.73750000000000004</v>
      </c>
    </row>
    <row r="50" spans="1:6" ht="19" x14ac:dyDescent="0.25">
      <c r="A50" s="110" t="s">
        <v>72</v>
      </c>
      <c r="B50" s="90" t="s">
        <v>73</v>
      </c>
    </row>
    <row r="51" spans="1:6" x14ac:dyDescent="0.2">
      <c r="A51" s="111" t="s">
        <v>61</v>
      </c>
      <c r="B51" s="112">
        <v>0.3</v>
      </c>
      <c r="C51" s="111"/>
      <c r="D51" s="252">
        <f>[1]HAMMONDCARE!D$4</f>
        <v>0.875</v>
      </c>
      <c r="E51" s="252">
        <f>[1]HAMMONDCARE!E$4</f>
        <v>0.8125</v>
      </c>
      <c r="F51" s="252">
        <f>[1]HAMMONDCARE!F$4</f>
        <v>0.625</v>
      </c>
    </row>
    <row r="52" spans="1:6" x14ac:dyDescent="0.2">
      <c r="A52" s="111" t="s">
        <v>62</v>
      </c>
      <c r="B52" s="112">
        <v>0.7</v>
      </c>
      <c r="C52" s="111"/>
      <c r="D52" s="253">
        <f t="shared" ref="D52:F52" si="10">D4</f>
        <v>0.55833333333333335</v>
      </c>
      <c r="E52" s="253">
        <f t="shared" si="10"/>
        <v>0.49583333333333335</v>
      </c>
      <c r="F52" s="253">
        <f t="shared" si="10"/>
        <v>0.73750000000000004</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0.26250000000000001</v>
      </c>
      <c r="E55" s="253">
        <f t="shared" ref="E55:F55" si="11">IF(E51="-","-",E51*$B$51)</f>
        <v>0.24374999999999999</v>
      </c>
      <c r="F55" s="253">
        <f t="shared" si="11"/>
        <v>0.1875</v>
      </c>
    </row>
    <row r="56" spans="1:6" x14ac:dyDescent="0.2">
      <c r="A56" s="111" t="s">
        <v>62</v>
      </c>
      <c r="B56" s="111"/>
      <c r="C56" s="111"/>
      <c r="D56" s="253">
        <f t="shared" ref="D56:F56" si="12">IF(D52="-","-",D52*$B$52)</f>
        <v>0.39083333333333331</v>
      </c>
      <c r="E56" s="253">
        <f t="shared" si="12"/>
        <v>0.3470833333333333</v>
      </c>
      <c r="F56" s="253">
        <f t="shared" si="12"/>
        <v>0.51624999999999999</v>
      </c>
    </row>
    <row r="57" spans="1:6" x14ac:dyDescent="0.2">
      <c r="A57" s="114" t="s">
        <v>57</v>
      </c>
      <c r="B57" s="114"/>
      <c r="C57" s="114"/>
      <c r="D57" s="115">
        <f t="shared" ref="D57:F57" si="13">IF(D51="","",IF(D52="","",SUM(D55:D56)))</f>
        <v>0.65333333333333332</v>
      </c>
      <c r="E57" s="115">
        <f t="shared" si="13"/>
        <v>0.59083333333333332</v>
      </c>
      <c r="F57" s="115">
        <f t="shared" si="13"/>
        <v>0.70374999999999999</v>
      </c>
    </row>
  </sheetData>
  <mergeCells count="2">
    <mergeCell ref="A38:B38"/>
    <mergeCell ref="B47:C47"/>
  </mergeCells>
  <conditionalFormatting sqref="B4">
    <cfRule type="containsBlanks" dxfId="49" priority="6">
      <formula>LEN(TRIM(B4))=0</formula>
    </cfRule>
    <cfRule type="cellIs" dxfId="48" priority="7" operator="greaterThanOrEqual">
      <formula>0.905</formula>
    </cfRule>
    <cfRule type="cellIs" dxfId="47" priority="8" operator="between">
      <formula>0.754999</formula>
      <formula>0.905</formula>
    </cfRule>
    <cfRule type="cellIs" dxfId="46" priority="9" operator="between">
      <formula>0.604999</formula>
      <formula>0.754999</formula>
    </cfRule>
    <cfRule type="cellIs" dxfId="45" priority="10" operator="between">
      <formula>0.44999</formula>
      <formula>0.605</formula>
    </cfRule>
    <cfRule type="cellIs" dxfId="44" priority="11" operator="lessThan">
      <formula>0.45</formula>
    </cfRule>
  </conditionalFormatting>
  <conditionalFormatting sqref="B6">
    <cfRule type="containsText" dxfId="43" priority="5" operator="containsText" text="NA">
      <formula>NOT(ISERROR(SEARCH("NA",B6)))</formula>
    </cfRule>
  </conditionalFormatting>
  <conditionalFormatting sqref="B12">
    <cfRule type="containsText" dxfId="42" priority="4" operator="containsText" text="NA">
      <formula>NOT(ISERROR(SEARCH("NA",B12)))</formula>
    </cfRule>
  </conditionalFormatting>
  <conditionalFormatting sqref="B17">
    <cfRule type="containsText" dxfId="41" priority="3" operator="containsText" text="NA">
      <formula>NOT(ISERROR(SEARCH("NA",B17)))</formula>
    </cfRule>
  </conditionalFormatting>
  <conditionalFormatting sqref="B23">
    <cfRule type="containsText" dxfId="40" priority="2" operator="containsText" text="NA">
      <formula>NOT(ISERROR(SEARCH("NA",B23)))</formula>
    </cfRule>
  </conditionalFormatting>
  <conditionalFormatting sqref="B28">
    <cfRule type="containsText" dxfId="39" priority="1" operator="containsText" text="NA">
      <formula>NOT(ISERROR(SEARCH("NA",B28)))</formula>
    </cfRule>
  </conditionalFormatting>
  <conditionalFormatting sqref="D4:F4">
    <cfRule type="containsBlanks" dxfId="38" priority="12">
      <formula>LEN(TRIM(D4))=0</formula>
    </cfRule>
    <cfRule type="cellIs" dxfId="37" priority="13" operator="greaterThanOrEqual">
      <formula>0.905</formula>
    </cfRule>
    <cfRule type="cellIs" dxfId="36" priority="14" operator="between">
      <formula>0.754999</formula>
      <formula>0.905</formula>
    </cfRule>
    <cfRule type="cellIs" dxfId="35" priority="15" operator="between">
      <formula>0.604999</formula>
      <formula>0.754999</formula>
    </cfRule>
    <cfRule type="cellIs" dxfId="34" priority="16" operator="between">
      <formula>0.44999</formula>
      <formula>0.605</formula>
    </cfRule>
    <cfRule type="cellIs" dxfId="33"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3"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129</v>
      </c>
      <c r="E2" s="300" t="s">
        <v>155</v>
      </c>
      <c r="F2" s="300" t="s">
        <v>139</v>
      </c>
    </row>
    <row r="3" spans="1:8" ht="19" x14ac:dyDescent="0.2">
      <c r="A3" s="32" t="str">
        <f>OVERALL!H1</f>
        <v>SILVER CHAIN</v>
      </c>
      <c r="B3" s="244">
        <f>OVERALL!G3</f>
        <v>0.64930555555555558</v>
      </c>
      <c r="C3" s="108" t="s">
        <v>71</v>
      </c>
      <c r="D3" s="109">
        <f>IF(D2="-","-",D57)</f>
        <v>0.64333333333333331</v>
      </c>
      <c r="E3" s="109">
        <f t="shared" ref="E3:F3" si="0">IF(E2="-","-",E57)</f>
        <v>0.60583333333333345</v>
      </c>
      <c r="F3" s="109">
        <f t="shared" si="0"/>
        <v>0.73895833333333338</v>
      </c>
    </row>
    <row r="4" spans="1:8" ht="18" customHeight="1" x14ac:dyDescent="0.2">
      <c r="A4" s="17" t="str">
        <f>OVERALL!A4</f>
        <v>AGENT MASTERY SCORE</v>
      </c>
      <c r="B4" s="38">
        <f>IF(C2=0, "-", IF(COUNTIF(D39:F39, "n")=C2, "-", IF(COUNT(D4:F4)=0, "-", AVERAGE(D4:F4))))</f>
        <v>0.54166666666666663</v>
      </c>
      <c r="C4" s="58" t="s">
        <v>1</v>
      </c>
      <c r="D4" s="38">
        <f>IF(D48&lt;0%,0%,IF(D$2="-","-",IF(D$39="n", "-", SUM(D$6,D$12,D$17,D$23,D$28,D$34))))</f>
        <v>0.5083333333333333</v>
      </c>
      <c r="E4" s="38">
        <f t="shared" ref="E4:F4" si="1">IF(E48&lt;0%,0%,IF(E$2="-","-",IF(E$39="n", "-", SUM(E$6,E$12,E$17,E$23,E$28,E$34))))</f>
        <v>0.45833333333333337</v>
      </c>
      <c r="F4" s="38">
        <f t="shared" si="1"/>
        <v>0.65833333333333344</v>
      </c>
      <c r="H4" s="12" t="s">
        <v>8</v>
      </c>
    </row>
    <row r="5" spans="1:8" ht="18" customHeight="1" x14ac:dyDescent="0.25">
      <c r="A5" s="57" t="s">
        <v>46</v>
      </c>
      <c r="B5" s="58">
        <f>IF(B6="-","-",AVERAGE(D5:F5))</f>
        <v>0.54166666666666663</v>
      </c>
      <c r="C5" s="58" t="s">
        <v>1</v>
      </c>
      <c r="D5" s="60">
        <f t="shared" ref="D5:F5" si="2">IF(D$2="","",IF(D$39="n", "", SUM(D$6,D$12,D$17,D$23,D$28)))</f>
        <v>0.5083333333333333</v>
      </c>
      <c r="E5" s="60">
        <f t="shared" si="2"/>
        <v>0.45833333333333337</v>
      </c>
      <c r="F5" s="60">
        <f t="shared" si="2"/>
        <v>0.65833333333333344</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6" t="s">
        <v>119</v>
      </c>
      <c r="E7" s="299" t="s">
        <v>120</v>
      </c>
      <c r="F7" s="299" t="s">
        <v>120</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v>
      </c>
      <c r="C9" s="26">
        <f>$C$2-COUNTIF(D9:F9, "-")</f>
        <v>3</v>
      </c>
      <c r="D9" s="296" t="s">
        <v>119</v>
      </c>
      <c r="E9" s="299" t="s">
        <v>119</v>
      </c>
      <c r="F9" s="299" t="s">
        <v>119</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0.66666666666666663</v>
      </c>
      <c r="C12" s="1" t="s">
        <v>1</v>
      </c>
      <c r="D12" s="28">
        <f>IF(D16=0,"-",(COUNTIF(D13:D15, "y")/D16)*OVERALL!$C$12)</f>
        <v>0.13333333333333333</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296" t="s">
        <v>119</v>
      </c>
      <c r="E13" s="299" t="s">
        <v>119</v>
      </c>
      <c r="F13" s="299" t="s">
        <v>119</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1</v>
      </c>
      <c r="C15" s="26">
        <f>$C$2-COUNTIF(D15:F15, "-")</f>
        <v>3</v>
      </c>
      <c r="D15" s="296" t="s">
        <v>120</v>
      </c>
      <c r="E15" s="299" t="s">
        <v>120</v>
      </c>
      <c r="F15" s="299" t="s">
        <v>120</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0.125</v>
      </c>
      <c r="F17" s="29">
        <f>IF(F22=0,"-",(COUNTIF(F18:F21, "y")/F22)*OVERALL!$C$17)</f>
        <v>0.125</v>
      </c>
      <c r="H17" s="9" t="s">
        <v>6</v>
      </c>
    </row>
    <row r="18" spans="1:11" ht="18" customHeight="1" x14ac:dyDescent="0.2">
      <c r="A18" s="33" t="str">
        <f>OVERALL!A18</f>
        <v>INFORM</v>
      </c>
      <c r="B18" s="3">
        <f>IF(C18=0,"-",COUNTIF(D18:F18,"y")/C18)</f>
        <v>0.66666666666666663</v>
      </c>
      <c r="C18" s="26">
        <f>$C$2-COUNTIF(D18:F18, "-")</f>
        <v>3</v>
      </c>
      <c r="D18" s="296" t="s">
        <v>120</v>
      </c>
      <c r="E18" s="299" t="s">
        <v>120</v>
      </c>
      <c r="F18" s="299" t="s">
        <v>119</v>
      </c>
    </row>
    <row r="19" spans="1:11" ht="18" customHeight="1" x14ac:dyDescent="0.2">
      <c r="A19" s="33" t="str">
        <f>OVERALL!A19</f>
        <v>CHECK</v>
      </c>
      <c r="B19" s="3">
        <f>IF(C19=0,"-",COUNTIF(D19:F19,"y")/C19)</f>
        <v>0</v>
      </c>
      <c r="C19" s="26">
        <f>$C$2-COUNTIF(D19:F19, "-")</f>
        <v>3</v>
      </c>
      <c r="D19" s="296" t="s">
        <v>119</v>
      </c>
      <c r="E19" s="299" t="s">
        <v>119</v>
      </c>
      <c r="F19" s="299" t="s">
        <v>119</v>
      </c>
    </row>
    <row r="20" spans="1:11" ht="18" customHeight="1" x14ac:dyDescent="0.2">
      <c r="A20" s="33" t="str">
        <f>OVERALL!A20</f>
        <v>SEEK</v>
      </c>
      <c r="B20" s="3">
        <f>IF(C20=0,"-",COUNTIF(D20:F20,"y")/C20)</f>
        <v>0.33333333333333331</v>
      </c>
      <c r="C20" s="26">
        <f>$C$2-COUNTIF(D20:F20, "-")</f>
        <v>3</v>
      </c>
      <c r="D20" s="296" t="s">
        <v>119</v>
      </c>
      <c r="E20" s="299" t="s">
        <v>119</v>
      </c>
      <c r="F20" s="299" t="s">
        <v>120</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0</v>
      </c>
      <c r="F23" s="29">
        <f>IF(F27=0,"-",(COUNTIF(F24:F26, "y")/F27)*OVERALL!$C$23)</f>
        <v>0.15</v>
      </c>
    </row>
    <row r="24" spans="1:11" ht="18" customHeight="1" x14ac:dyDescent="0.2">
      <c r="A24" s="33" t="str">
        <f>OVERALL!A24</f>
        <v>QUESTIONS</v>
      </c>
      <c r="B24" s="3">
        <f>IF(C24=0,"-",COUNTIF(D24:F24,"y")/C24)</f>
        <v>0.33333333333333331</v>
      </c>
      <c r="C24" s="26">
        <f>$C$2-COUNTIF(D24:F24, "-")</f>
        <v>3</v>
      </c>
      <c r="D24" s="296" t="s">
        <v>119</v>
      </c>
      <c r="E24" s="299" t="s">
        <v>119</v>
      </c>
      <c r="F24" s="299" t="s">
        <v>120</v>
      </c>
    </row>
    <row r="25" spans="1:11" ht="18" customHeight="1" x14ac:dyDescent="0.2">
      <c r="A25" s="33" t="str">
        <f>OVERALL!A25</f>
        <v>GRATITUDE</v>
      </c>
      <c r="B25" s="3">
        <f>IF(C25=0,"-",COUNTIF(D25:F25,"y")/C25)</f>
        <v>0.33333333333333331</v>
      </c>
      <c r="C25" s="26">
        <f>$C$2-COUNTIF(D25:F25, "-")</f>
        <v>3</v>
      </c>
      <c r="D25" s="296" t="s">
        <v>119</v>
      </c>
      <c r="E25" s="299" t="s">
        <v>119</v>
      </c>
      <c r="F25" s="299" t="s">
        <v>120</v>
      </c>
    </row>
    <row r="26" spans="1:11" ht="18" customHeight="1" x14ac:dyDescent="0.2">
      <c r="A26" s="33" t="str">
        <f>OVERALL!A26</f>
        <v>THANKS</v>
      </c>
      <c r="B26" s="3">
        <f>IF(C26=0,"-",COUNTIF(D26:F26,"y")/C26)</f>
        <v>0.66666666666666663</v>
      </c>
      <c r="C26" s="26">
        <f>$C$2-COUNTIF(D26:F26, "-")</f>
        <v>3</v>
      </c>
      <c r="D26" s="296" t="s">
        <v>120</v>
      </c>
      <c r="E26" s="299" t="s">
        <v>119</v>
      </c>
      <c r="F26" s="299"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6" t="s">
        <v>120</v>
      </c>
      <c r="E29" s="299" t="s">
        <v>120</v>
      </c>
      <c r="F29" s="299" t="s">
        <v>120</v>
      </c>
    </row>
    <row r="30" spans="1:11" ht="18" customHeight="1" x14ac:dyDescent="0.2">
      <c r="A30" s="33" t="str">
        <f>OVERALL!A30</f>
        <v>EMPATHY</v>
      </c>
      <c r="B30" s="3">
        <f>IF(C30=0,"-",COUNTIF(D30:F30,"y")/C30)</f>
        <v>1</v>
      </c>
      <c r="C30" s="26">
        <f>$C$2-COUNTIF(D30:F30, "-")</f>
        <v>3</v>
      </c>
      <c r="D30" s="296" t="s">
        <v>120</v>
      </c>
      <c r="E30" s="299" t="s">
        <v>120</v>
      </c>
      <c r="F30" s="299" t="s">
        <v>120</v>
      </c>
    </row>
    <row r="31" spans="1:11" ht="18" customHeight="1" x14ac:dyDescent="0.2">
      <c r="A31" s="33" t="str">
        <f>OVERALL!A31</f>
        <v>CONTROL</v>
      </c>
      <c r="B31" s="3">
        <f>IF(C31=0,"-",COUNTIF(D31:F31,"y")/C31)</f>
        <v>0.66666666666666663</v>
      </c>
      <c r="C31" s="26">
        <f>$C$2-COUNTIF(D31:F31, "-")</f>
        <v>3</v>
      </c>
      <c r="D31" s="296" t="s">
        <v>120</v>
      </c>
      <c r="E31" s="299" t="s">
        <v>119</v>
      </c>
      <c r="F31" s="299" t="s">
        <v>120</v>
      </c>
    </row>
    <row r="32" spans="1:11" ht="18" customHeight="1" x14ac:dyDescent="0.2">
      <c r="A32" s="33" t="str">
        <f>OVERALL!A32</f>
        <v>CLARITY</v>
      </c>
      <c r="B32" s="3">
        <f>IF(C32=0,"-",COUNTIF(D32:F32,"y")/C32)</f>
        <v>1</v>
      </c>
      <c r="C32" s="26">
        <f>$C$2-COUNTIF(D32:F32, "-")</f>
        <v>3</v>
      </c>
      <c r="D32" s="296" t="s">
        <v>120</v>
      </c>
      <c r="E32" s="299" t="s">
        <v>120</v>
      </c>
      <c r="F32" s="299" t="s">
        <v>120</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96" t="s">
        <v>119</v>
      </c>
      <c r="E35" s="299" t="s">
        <v>119</v>
      </c>
      <c r="F35" s="299" t="s">
        <v>119</v>
      </c>
      <c r="H35" s="48">
        <v>-0.3</v>
      </c>
      <c r="J35" s="48"/>
      <c r="K35" s="48"/>
      <c r="L35" s="48"/>
    </row>
    <row r="36" spans="1:13" ht="18" customHeight="1" x14ac:dyDescent="0.2">
      <c r="A36" s="45" t="str">
        <f>OVERALL!A36</f>
        <v>AUDIO ISSUE (DISTRACTION)</v>
      </c>
      <c r="B36" s="3">
        <f>IF(C36=0,"-",COUNTIF(D36:F36,"y")/C36)</f>
        <v>0</v>
      </c>
      <c r="C36" s="26">
        <f>$C$2-COUNTIF(D36:F36, "-")</f>
        <v>3</v>
      </c>
      <c r="D36" s="296" t="s">
        <v>119</v>
      </c>
      <c r="E36" s="299" t="s">
        <v>119</v>
      </c>
      <c r="F36" s="299"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6" t="s">
        <v>120</v>
      </c>
      <c r="E39" s="299" t="s">
        <v>120</v>
      </c>
      <c r="F39" s="299" t="s">
        <v>120</v>
      </c>
    </row>
    <row r="40" spans="1:13" ht="18" customHeight="1" x14ac:dyDescent="0.2">
      <c r="A40" s="33" t="str">
        <f>OVERALL!A40</f>
        <v>TALK TIME</v>
      </c>
      <c r="B40" s="286">
        <f>IF(C40=0,"-",AVERAGE(D40:F40))</f>
        <v>1.2538580246913582E-3</v>
      </c>
      <c r="C40" s="26">
        <f>$C$2-COUNTIF(D40:F40, "-")</f>
        <v>3</v>
      </c>
      <c r="D40" s="286">
        <v>1.2152777777777778E-3</v>
      </c>
      <c r="E40" s="303">
        <v>1.1921296296296296E-3</v>
      </c>
      <c r="F40" s="286">
        <v>1.3541666666666667E-3</v>
      </c>
      <c r="G40" s="46"/>
      <c r="H40" s="261"/>
      <c r="I40" s="261"/>
      <c r="J40" s="261"/>
      <c r="K40" s="261"/>
      <c r="L40" s="261"/>
      <c r="M40" s="261"/>
    </row>
    <row r="41" spans="1:13" ht="18" customHeight="1" x14ac:dyDescent="0.2">
      <c r="A41" s="33" t="str">
        <f>OVERALL!A41</f>
        <v>ASSESSOR RATING (0-10)</v>
      </c>
      <c r="B41" s="259">
        <f>IF(C41=0,"-",SUM(D41:F41)/C41)</f>
        <v>5</v>
      </c>
      <c r="C41" s="26">
        <f>$C$2-COUNTIF(D41:F41, "-")</f>
        <v>3</v>
      </c>
      <c r="D41" s="278">
        <v>5</v>
      </c>
      <c r="E41" s="278">
        <v>4</v>
      </c>
      <c r="F41" s="278">
        <v>6</v>
      </c>
    </row>
    <row r="42" spans="1:13" ht="18" customHeight="1" x14ac:dyDescent="0.2">
      <c r="A42" s="33" t="str">
        <f>OVERALL!A42</f>
        <v>EXPLAINED KEY FEATURES</v>
      </c>
      <c r="B42" s="3">
        <f>IF(C42=0,"-",COUNTIF(D42:F42, "y")/C42)</f>
        <v>0</v>
      </c>
      <c r="C42" s="26">
        <f>$C$2-COUNTIF(D42:F42, "-")</f>
        <v>3</v>
      </c>
      <c r="D42" s="296" t="s">
        <v>119</v>
      </c>
      <c r="E42" s="299" t="s">
        <v>119</v>
      </c>
      <c r="F42" s="299" t="s">
        <v>119</v>
      </c>
      <c r="G42" s="47"/>
      <c r="H42" t="s">
        <v>1</v>
      </c>
    </row>
    <row r="43" spans="1:13" ht="18" customHeight="1" x14ac:dyDescent="0.2">
      <c r="A43" s="33" t="str">
        <f>OVERALL!A43</f>
        <v>REVEALED PRICING</v>
      </c>
      <c r="B43" s="3">
        <f>IF(C43=0,"-",COUNTIF(D43:F43, "y")/C43)</f>
        <v>0</v>
      </c>
      <c r="C43" s="26">
        <f>$C$2-COUNTIF(D43:F43, "-")</f>
        <v>3</v>
      </c>
      <c r="D43" s="296" t="s">
        <v>119</v>
      </c>
      <c r="E43" s="299" t="s">
        <v>119</v>
      </c>
      <c r="F43" s="299" t="s">
        <v>119</v>
      </c>
    </row>
    <row r="44" spans="1:13" ht="18" customHeight="1" x14ac:dyDescent="0.2">
      <c r="A44" s="33" t="str">
        <f>OVERALL!A44</f>
        <v>EXPLAINED ACTIONS &amp; PROCESS</v>
      </c>
      <c r="B44" s="3">
        <f>IF(C44=0,"-",COUNTIF(D44:F44, "y")/C44)</f>
        <v>0.33333333333333331</v>
      </c>
      <c r="C44" s="26">
        <f>$C$2-COUNTIF(D44:F44, "-")</f>
        <v>3</v>
      </c>
      <c r="D44" s="296" t="s">
        <v>120</v>
      </c>
      <c r="E44" s="299" t="s">
        <v>119</v>
      </c>
      <c r="F44" s="299" t="s">
        <v>119</v>
      </c>
    </row>
    <row r="45" spans="1:13" ht="18" customHeight="1" x14ac:dyDescent="0.2">
      <c r="A45" s="33" t="str">
        <f>OVERALL!A45</f>
        <v>WEBSITE EDUCATION</v>
      </c>
      <c r="B45" s="3">
        <f>IF(C45=0,"-",COUNTIF(D45:F45, "y")/C45)</f>
        <v>0</v>
      </c>
      <c r="C45" s="26">
        <f>$C$2-COUNTIF(D45:F45, "-")</f>
        <v>3</v>
      </c>
      <c r="D45" s="296" t="s">
        <v>119</v>
      </c>
      <c r="E45" s="299" t="s">
        <v>119</v>
      </c>
      <c r="F45" s="299" t="s">
        <v>119</v>
      </c>
    </row>
    <row r="46" spans="1:13" ht="18" customHeight="1" x14ac:dyDescent="0.2">
      <c r="A46" s="18"/>
      <c r="B46" s="3"/>
      <c r="C46" s="26"/>
      <c r="D46" s="259"/>
      <c r="E46" s="259"/>
      <c r="F46" s="259"/>
    </row>
    <row r="47" spans="1:13" ht="90" x14ac:dyDescent="0.2">
      <c r="A47" s="25" t="s">
        <v>1</v>
      </c>
      <c r="B47" s="350" t="s">
        <v>35</v>
      </c>
      <c r="C47" s="351"/>
      <c r="D47" s="23" t="s">
        <v>130</v>
      </c>
      <c r="E47" s="23" t="s">
        <v>156</v>
      </c>
      <c r="F47" s="23" t="s">
        <v>140</v>
      </c>
    </row>
    <row r="48" spans="1:13" ht="18" customHeight="1" x14ac:dyDescent="0.2">
      <c r="A48" s="59" t="s">
        <v>45</v>
      </c>
      <c r="D48" s="50">
        <f t="shared" ref="D48:F48" si="9">IF(D$2="","",IF(D$39="n", "", SUM(D$6,D$12,D$17,D$23,D$28,D$34)))</f>
        <v>0.5083333333333333</v>
      </c>
      <c r="E48" s="50">
        <f t="shared" si="9"/>
        <v>0.45833333333333337</v>
      </c>
      <c r="F48" s="50">
        <f t="shared" si="9"/>
        <v>0.65833333333333344</v>
      </c>
    </row>
    <row r="50" spans="1:6" ht="19" x14ac:dyDescent="0.25">
      <c r="A50" s="110" t="s">
        <v>72</v>
      </c>
      <c r="B50" s="90" t="s">
        <v>73</v>
      </c>
    </row>
    <row r="51" spans="1:6" x14ac:dyDescent="0.2">
      <c r="A51" s="111" t="s">
        <v>61</v>
      </c>
      <c r="B51" s="112">
        <v>0.3</v>
      </c>
      <c r="C51" s="111"/>
      <c r="D51" s="252">
        <f>[1]SILVER_CHAIN!D$4</f>
        <v>0.95833333333333337</v>
      </c>
      <c r="E51" s="252">
        <f>[1]SILVER_CHAIN!E$4</f>
        <v>0.95000000000000007</v>
      </c>
      <c r="F51" s="252">
        <f>[1]SILVER_CHAIN!F$4</f>
        <v>0.92708333333333337</v>
      </c>
    </row>
    <row r="52" spans="1:6" x14ac:dyDescent="0.2">
      <c r="A52" s="111" t="s">
        <v>62</v>
      </c>
      <c r="B52" s="112">
        <v>0.7</v>
      </c>
      <c r="C52" s="111"/>
      <c r="D52" s="253">
        <f t="shared" ref="D52:F52" si="10">D4</f>
        <v>0.5083333333333333</v>
      </c>
      <c r="E52" s="253">
        <f t="shared" si="10"/>
        <v>0.45833333333333337</v>
      </c>
      <c r="F52" s="253">
        <f t="shared" si="10"/>
        <v>0.65833333333333344</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0.28749999999999998</v>
      </c>
      <c r="E55" s="253">
        <f t="shared" ref="E55:F55" si="11">IF(E51="-","-",E51*$B$51)</f>
        <v>0.28500000000000003</v>
      </c>
      <c r="F55" s="253">
        <f t="shared" si="11"/>
        <v>0.27812500000000001</v>
      </c>
    </row>
    <row r="56" spans="1:6" x14ac:dyDescent="0.2">
      <c r="A56" s="111" t="s">
        <v>62</v>
      </c>
      <c r="B56" s="111"/>
      <c r="C56" s="111"/>
      <c r="D56" s="253">
        <f t="shared" ref="D56:F56" si="12">IF(D52="-","-",D52*$B$52)</f>
        <v>0.35583333333333328</v>
      </c>
      <c r="E56" s="253">
        <f t="shared" si="12"/>
        <v>0.32083333333333336</v>
      </c>
      <c r="F56" s="253">
        <f t="shared" si="12"/>
        <v>0.46083333333333337</v>
      </c>
    </row>
    <row r="57" spans="1:6" x14ac:dyDescent="0.2">
      <c r="A57" s="114" t="s">
        <v>57</v>
      </c>
      <c r="B57" s="114"/>
      <c r="C57" s="114"/>
      <c r="D57" s="115">
        <f t="shared" ref="D57:F57" si="13">IF(D51="","",IF(D52="","",SUM(D55:D56)))</f>
        <v>0.64333333333333331</v>
      </c>
      <c r="E57" s="115">
        <f t="shared" si="13"/>
        <v>0.60583333333333345</v>
      </c>
      <c r="F57" s="115">
        <f t="shared" si="13"/>
        <v>0.73895833333333338</v>
      </c>
    </row>
  </sheetData>
  <mergeCells count="2">
    <mergeCell ref="A38:B38"/>
    <mergeCell ref="B47:C47"/>
  </mergeCells>
  <conditionalFormatting sqref="B4 D4:F4">
    <cfRule type="containsBlanks" dxfId="32" priority="6">
      <formula>LEN(TRIM(B4))=0</formula>
    </cfRule>
    <cfRule type="cellIs" dxfId="31" priority="7" operator="greaterThanOrEqual">
      <formula>0.905</formula>
    </cfRule>
    <cfRule type="cellIs" dxfId="30" priority="8" operator="between">
      <formula>0.754999</formula>
      <formula>0.905</formula>
    </cfRule>
    <cfRule type="cellIs" dxfId="29" priority="9" operator="between">
      <formula>0.604999</formula>
      <formula>0.754999</formula>
    </cfRule>
    <cfRule type="cellIs" dxfId="28" priority="10" operator="between">
      <formula>0.44999</formula>
      <formula>0.605</formula>
    </cfRule>
    <cfRule type="cellIs" dxfId="27" priority="11" operator="lessThan">
      <formula>0.45</formula>
    </cfRule>
  </conditionalFormatting>
  <conditionalFormatting sqref="B6">
    <cfRule type="containsText" dxfId="26" priority="5" operator="containsText" text="NA">
      <formula>NOT(ISERROR(SEARCH("NA",B6)))</formula>
    </cfRule>
  </conditionalFormatting>
  <conditionalFormatting sqref="B12">
    <cfRule type="containsText" dxfId="25" priority="4" operator="containsText" text="NA">
      <formula>NOT(ISERROR(SEARCH("NA",B12)))</formula>
    </cfRule>
  </conditionalFormatting>
  <conditionalFormatting sqref="B17">
    <cfRule type="containsText" dxfId="24" priority="3" operator="containsText" text="NA">
      <formula>NOT(ISERROR(SEARCH("NA",B17)))</formula>
    </cfRule>
  </conditionalFormatting>
  <conditionalFormatting sqref="B23">
    <cfRule type="containsText" dxfId="23" priority="2" operator="containsText" text="NA">
      <formula>NOT(ISERROR(SEARCH("NA",B23)))</formula>
    </cfRule>
  </conditionalFormatting>
  <conditionalFormatting sqref="B28">
    <cfRule type="containsText" dxfId="22" priority="1" operator="containsText" text="NA">
      <formula>NOT(ISERROR(SEARCH("NA",B28)))</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0"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80</v>
      </c>
      <c r="D1" s="24">
        <v>1</v>
      </c>
      <c r="E1" s="24">
        <v>2</v>
      </c>
      <c r="F1" s="24">
        <v>3</v>
      </c>
    </row>
    <row r="2" spans="1:8" ht="21" x14ac:dyDescent="0.2">
      <c r="A2" s="19" t="str">
        <f>OVERALL!A2</f>
        <v>AGED CARE</v>
      </c>
      <c r="B2" s="31" t="s">
        <v>57</v>
      </c>
      <c r="C2" s="35">
        <f>COUNTA(D7:F7)</f>
        <v>3</v>
      </c>
      <c r="D2" s="298" t="s">
        <v>131</v>
      </c>
      <c r="E2" s="300" t="s">
        <v>131</v>
      </c>
      <c r="F2" s="300" t="s">
        <v>141</v>
      </c>
    </row>
    <row r="3" spans="1:8" ht="19" x14ac:dyDescent="0.2">
      <c r="A3" s="32" t="str">
        <f>OVERALL!I1</f>
        <v>UNITING AGE WELL</v>
      </c>
      <c r="B3" s="244">
        <f>OVERALL!H3</f>
        <v>0.66270833333333323</v>
      </c>
      <c r="C3" s="108" t="s">
        <v>71</v>
      </c>
      <c r="D3" s="109">
        <f>IF(D2="-","-",D57)</f>
        <v>0.44791666666666663</v>
      </c>
      <c r="E3" s="109">
        <f t="shared" ref="E3:F3" si="0">IF(E2="-","-",E57)</f>
        <v>0.54583333333333339</v>
      </c>
      <c r="F3" s="109">
        <f t="shared" si="0"/>
        <v>0.66604166666666664</v>
      </c>
    </row>
    <row r="4" spans="1:8" ht="18" customHeight="1" x14ac:dyDescent="0.2">
      <c r="A4" s="17" t="str">
        <f>OVERALL!A4</f>
        <v>AGENT MASTERY SCORE</v>
      </c>
      <c r="B4" s="38">
        <f>IF(C2=0, "-", IF(COUNTIF(D39:F39, "n")=C2, "-", IF(COUNT(D4:F4)=0, "-", AVERAGE(D4:F4))))</f>
        <v>0.39305555555555555</v>
      </c>
      <c r="C4" s="58" t="s">
        <v>1</v>
      </c>
      <c r="D4" s="38">
        <f>IF(D48&lt;0%,0%,IF(D$2="-","-",IF(D$39="n", "-", SUM(D$6,D$12,D$17,D$23,D$28,D$34))))</f>
        <v>0.22916666666666663</v>
      </c>
      <c r="E4" s="38">
        <f t="shared" ref="E4:F4" si="1">IF(E48&lt;0%,0%,IF(E$2="-","-",IF(E$39="n", "-", SUM(E$6,E$12,E$17,E$23,E$28,E$34))))</f>
        <v>0.39583333333333337</v>
      </c>
      <c r="F4" s="38">
        <f t="shared" si="1"/>
        <v>0.5541666666666667</v>
      </c>
      <c r="H4" s="12" t="s">
        <v>8</v>
      </c>
    </row>
    <row r="5" spans="1:8" ht="18" customHeight="1" x14ac:dyDescent="0.25">
      <c r="A5" s="57" t="s">
        <v>46</v>
      </c>
      <c r="B5" s="58">
        <f>IF(B6="-","-",AVERAGE(D5:F5))</f>
        <v>0.39305555555555555</v>
      </c>
      <c r="C5" s="58" t="s">
        <v>1</v>
      </c>
      <c r="D5" s="60">
        <f t="shared" ref="D5:F5" si="2">IF(D$2="","",IF(D$39="n", "", SUM(D$6,D$12,D$17,D$23,D$28)))</f>
        <v>0.22916666666666663</v>
      </c>
      <c r="E5" s="60">
        <f t="shared" si="2"/>
        <v>0.39583333333333337</v>
      </c>
      <c r="F5" s="60">
        <f t="shared" si="2"/>
        <v>0.5541666666666667</v>
      </c>
      <c r="H5" s="7" t="s">
        <v>16</v>
      </c>
    </row>
    <row r="6" spans="1:8" ht="18" customHeight="1" x14ac:dyDescent="0.2">
      <c r="A6" s="20" t="str">
        <f>OVERALL!A6</f>
        <v>ENGAGE</v>
      </c>
      <c r="B6" s="21">
        <f>IF(C11=0,"-",AVERAGE(B7:B10))</f>
        <v>8.3333333333333329E-2</v>
      </c>
      <c r="C6" s="61" t="s">
        <v>0</v>
      </c>
      <c r="D6" s="28">
        <f>IF(D11=0,"-",(COUNTIF(D7:D10, "y")/D11)*OVERALL!$C$6)</f>
        <v>0</v>
      </c>
      <c r="E6" s="28">
        <f>IF(E11=0,"-",(COUNTIF(E7:E10, "y")/E11)*OVERALL!$C$6)</f>
        <v>0</v>
      </c>
      <c r="F6" s="28">
        <f>IF(F11=0,"-",(COUNTIF(F7:F10, "y")/F11)*OVERALL!$C$6)</f>
        <v>0.05</v>
      </c>
    </row>
    <row r="7" spans="1:8" ht="18" customHeight="1" x14ac:dyDescent="0.2">
      <c r="A7" s="33" t="str">
        <f>OVERALL!A7</f>
        <v>WELCOME</v>
      </c>
      <c r="B7" s="3">
        <f>IF(C7=0,"-",COUNTIF(D7:F7,"y")/C7)</f>
        <v>0.33333333333333331</v>
      </c>
      <c r="C7" s="26">
        <f>$C$2-COUNTIF(D7:F7, "-")</f>
        <v>3</v>
      </c>
      <c r="D7" s="296" t="s">
        <v>119</v>
      </c>
      <c r="E7" s="299" t="s">
        <v>119</v>
      </c>
      <c r="F7" s="299" t="s">
        <v>120</v>
      </c>
      <c r="H7" s="11" t="s">
        <v>2</v>
      </c>
    </row>
    <row r="8" spans="1:8" ht="18" customHeight="1" x14ac:dyDescent="0.25">
      <c r="A8" s="33" t="str">
        <f>OVERALL!A8</f>
        <v>INTENT</v>
      </c>
      <c r="B8" s="3">
        <f>IF(C8=0,"-",COUNTIF(D8:F8,"y")/C8)</f>
        <v>0</v>
      </c>
      <c r="C8" s="26">
        <f>$C$2-COUNTIF(D8:F8, "-")</f>
        <v>3</v>
      </c>
      <c r="D8" s="296" t="s">
        <v>119</v>
      </c>
      <c r="E8" s="299" t="s">
        <v>119</v>
      </c>
      <c r="F8" s="299" t="s">
        <v>119</v>
      </c>
      <c r="H8" s="7" t="s">
        <v>15</v>
      </c>
    </row>
    <row r="9" spans="1:8" ht="18" customHeight="1" x14ac:dyDescent="0.2">
      <c r="A9" s="33" t="str">
        <f>OVERALL!A9</f>
        <v>NAME</v>
      </c>
      <c r="B9" s="3">
        <f>IF(C9=0,"-",COUNTIF(D9:F9,"y")/C9)</f>
        <v>0</v>
      </c>
      <c r="C9" s="26">
        <f>$C$2-COUNTIF(D9:F9, "-")</f>
        <v>3</v>
      </c>
      <c r="D9" s="296" t="s">
        <v>119</v>
      </c>
      <c r="E9" s="299" t="s">
        <v>119</v>
      </c>
      <c r="F9" s="299" t="s">
        <v>119</v>
      </c>
      <c r="H9" t="s">
        <v>1</v>
      </c>
    </row>
    <row r="10" spans="1:8" ht="18" customHeight="1" x14ac:dyDescent="0.2">
      <c r="A10" s="33" t="str">
        <f>OVERALL!A10</f>
        <v>BRIDGE</v>
      </c>
      <c r="B10" s="3">
        <f>IF(C10=0,"-",COUNTIF(D10:F10,"y")/C10)</f>
        <v>0</v>
      </c>
      <c r="C10" s="26">
        <f>$C$2-COUNTIF(D10:F10, "-")</f>
        <v>3</v>
      </c>
      <c r="D10" s="296" t="s">
        <v>119</v>
      </c>
      <c r="E10" s="299" t="s">
        <v>119</v>
      </c>
      <c r="F10" s="299" t="s">
        <v>119</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119</v>
      </c>
      <c r="E13" s="299" t="s">
        <v>119</v>
      </c>
      <c r="F13" s="299" t="s">
        <v>119</v>
      </c>
      <c r="H13" s="14" t="s">
        <v>4</v>
      </c>
    </row>
    <row r="14" spans="1:8" ht="18" customHeight="1" x14ac:dyDescent="0.25">
      <c r="A14" s="33" t="str">
        <f>OVERALL!A14</f>
        <v>LISTEN</v>
      </c>
      <c r="B14" s="3">
        <f>IF(C14=0,"-",COUNTIF(D14:F14,"y")/C14)</f>
        <v>1</v>
      </c>
      <c r="C14" s="26">
        <f>$C$2-COUNTIF(D14:F14, "-")</f>
        <v>3</v>
      </c>
      <c r="D14" s="296" t="s">
        <v>120</v>
      </c>
      <c r="E14" s="299" t="s">
        <v>120</v>
      </c>
      <c r="F14" s="299" t="s">
        <v>120</v>
      </c>
      <c r="H14" s="9" t="s">
        <v>13</v>
      </c>
    </row>
    <row r="15" spans="1:8" ht="18" customHeight="1" x14ac:dyDescent="0.2">
      <c r="A15" s="33" t="str">
        <f>OVERALL!A15</f>
        <v>CONFIRM</v>
      </c>
      <c r="B15" s="3">
        <f>IF(C15=0,"-",COUNTIF(D15:F15,"y")/C15)</f>
        <v>0.33333333333333331</v>
      </c>
      <c r="C15" s="26">
        <f>$C$2-COUNTIF(D15:F15, "-")</f>
        <v>3</v>
      </c>
      <c r="D15" s="296" t="s">
        <v>119</v>
      </c>
      <c r="E15" s="299" t="s">
        <v>120</v>
      </c>
      <c r="F15" s="299" t="s">
        <v>119</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0.41666666666666663</v>
      </c>
      <c r="C17" s="1" t="s">
        <v>1</v>
      </c>
      <c r="D17" s="29">
        <f>IF(D22=0,"-",(COUNTIF(D18:D21, "y")/D22)*OVERALL!$C$17)</f>
        <v>6.25E-2</v>
      </c>
      <c r="E17" s="29">
        <f>IF(E22=0,"-",(COUNTIF(E18:E21, "y")/E22)*OVERALL!$C$17)</f>
        <v>6.25E-2</v>
      </c>
      <c r="F17" s="29">
        <f>IF(F22=0,"-",(COUNTIF(F18:F21, "y")/F22)*OVERALL!$C$17)</f>
        <v>0.1875</v>
      </c>
      <c r="H17" s="9" t="s">
        <v>6</v>
      </c>
    </row>
    <row r="18" spans="1:11" ht="18" customHeight="1" x14ac:dyDescent="0.2">
      <c r="A18" s="33" t="str">
        <f>OVERALL!A18</f>
        <v>INFORM</v>
      </c>
      <c r="B18" s="3">
        <f>IF(C18=0,"-",COUNTIF(D18:F18,"y")/C18)</f>
        <v>0.33333333333333331</v>
      </c>
      <c r="C18" s="26">
        <f>$C$2-COUNTIF(D18:F18, "-")</f>
        <v>3</v>
      </c>
      <c r="D18" s="296" t="s">
        <v>119</v>
      </c>
      <c r="E18" s="299" t="s">
        <v>119</v>
      </c>
      <c r="F18" s="299" t="s">
        <v>120</v>
      </c>
    </row>
    <row r="19" spans="1:11" ht="18" customHeight="1" x14ac:dyDescent="0.2">
      <c r="A19" s="33" t="str">
        <f>OVERALL!A19</f>
        <v>CHECK</v>
      </c>
      <c r="B19" s="3">
        <f>IF(C19=0,"-",COUNTIF(D19:F19,"y")/C19)</f>
        <v>0</v>
      </c>
      <c r="C19" s="26">
        <f>$C$2-COUNTIF(D19:F19, "-")</f>
        <v>3</v>
      </c>
      <c r="D19" s="296" t="s">
        <v>119</v>
      </c>
      <c r="E19" s="299" t="s">
        <v>119</v>
      </c>
      <c r="F19" s="299" t="s">
        <v>119</v>
      </c>
    </row>
    <row r="20" spans="1:11" ht="18" customHeight="1" x14ac:dyDescent="0.2">
      <c r="A20" s="33" t="str">
        <f>OVERALL!A20</f>
        <v>SEEK</v>
      </c>
      <c r="B20" s="3">
        <f>IF(C20=0,"-",COUNTIF(D20:F20,"y")/C20)</f>
        <v>0.33333333333333331</v>
      </c>
      <c r="C20" s="26">
        <f>$C$2-COUNTIF(D20:F20, "-")</f>
        <v>3</v>
      </c>
      <c r="D20" s="296" t="s">
        <v>119</v>
      </c>
      <c r="E20" s="299" t="s">
        <v>119</v>
      </c>
      <c r="F20" s="299" t="s">
        <v>120</v>
      </c>
      <c r="H20" t="s">
        <v>1</v>
      </c>
    </row>
    <row r="21" spans="1:11" ht="18" customHeight="1" x14ac:dyDescent="0.2">
      <c r="A21" s="33" t="str">
        <f>OVERALL!A21</f>
        <v>CONFIDENCE</v>
      </c>
      <c r="B21" s="3">
        <f>IF(C21=0,"-",COUNTIF(D21:F21,"y")/C21)</f>
        <v>1</v>
      </c>
      <c r="C21" s="26">
        <f>$C$2-COUNTIF(D21:F21, "-")</f>
        <v>3</v>
      </c>
      <c r="D21" s="296" t="s">
        <v>120</v>
      </c>
      <c r="E21" s="299" t="s">
        <v>120</v>
      </c>
      <c r="F21" s="299" t="s">
        <v>120</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v>
      </c>
      <c r="C24" s="26">
        <f>$C$2-COUNTIF(D24:F24, "-")</f>
        <v>3</v>
      </c>
      <c r="D24" s="296" t="s">
        <v>119</v>
      </c>
      <c r="E24" s="299" t="s">
        <v>119</v>
      </c>
      <c r="F24" s="299" t="s">
        <v>119</v>
      </c>
    </row>
    <row r="25" spans="1:11" ht="18" customHeight="1" x14ac:dyDescent="0.2">
      <c r="A25" s="33" t="str">
        <f>OVERALL!A25</f>
        <v>GRATITUDE</v>
      </c>
      <c r="B25" s="3">
        <f>IF(C25=0,"-",COUNTIF(D25:F25,"y")/C25)</f>
        <v>0.33333333333333331</v>
      </c>
      <c r="C25" s="26">
        <f>$C$2-COUNTIF(D25:F25, "-")</f>
        <v>3</v>
      </c>
      <c r="D25" s="296" t="s">
        <v>119</v>
      </c>
      <c r="E25" s="299" t="s">
        <v>119</v>
      </c>
      <c r="F25" s="299" t="s">
        <v>120</v>
      </c>
    </row>
    <row r="26" spans="1:11" ht="18" customHeight="1" x14ac:dyDescent="0.2">
      <c r="A26" s="33" t="str">
        <f>OVERALL!A26</f>
        <v>THANKS</v>
      </c>
      <c r="B26" s="3">
        <f>IF(C26=0,"-",COUNTIF(D26:F26,"y")/C26)</f>
        <v>1</v>
      </c>
      <c r="C26" s="26">
        <f>$C$2-COUNTIF(D26:F26, "-")</f>
        <v>3</v>
      </c>
      <c r="D26" s="296" t="s">
        <v>120</v>
      </c>
      <c r="E26" s="299" t="s">
        <v>120</v>
      </c>
      <c r="F26" s="299" t="s">
        <v>120</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0.58333333333333326</v>
      </c>
      <c r="C28" s="1" t="s">
        <v>1</v>
      </c>
      <c r="D28" s="29">
        <f>IF(D33=0,"-",(COUNTIF(D29:D32, "y")/D33)*OVERALL!$C$28)</f>
        <v>0.05</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296" t="s">
        <v>120</v>
      </c>
      <c r="E29" s="299" t="s">
        <v>120</v>
      </c>
      <c r="F29" s="299" t="s">
        <v>120</v>
      </c>
    </row>
    <row r="30" spans="1:11" ht="18" customHeight="1" x14ac:dyDescent="0.2">
      <c r="A30" s="33" t="str">
        <f>OVERALL!A30</f>
        <v>EMPATHY</v>
      </c>
      <c r="B30" s="3">
        <f>IF(C30=0,"-",COUNTIF(D30:F30,"y")/C30)</f>
        <v>0.66666666666666663</v>
      </c>
      <c r="C30" s="26">
        <f>$C$2-COUNTIF(D30:F30, "-")</f>
        <v>3</v>
      </c>
      <c r="D30" s="296" t="s">
        <v>119</v>
      </c>
      <c r="E30" s="299" t="s">
        <v>120</v>
      </c>
      <c r="F30" s="299" t="s">
        <v>120</v>
      </c>
    </row>
    <row r="31" spans="1:11" ht="18" customHeight="1" x14ac:dyDescent="0.2">
      <c r="A31" s="33" t="str">
        <f>OVERALL!A31</f>
        <v>CONTROL</v>
      </c>
      <c r="B31" s="3">
        <f>IF(C31=0,"-",COUNTIF(D31:F31,"y")/C31)</f>
        <v>0.66666666666666663</v>
      </c>
      <c r="C31" s="26">
        <f>$C$2-COUNTIF(D31:F31, "-")</f>
        <v>3</v>
      </c>
      <c r="D31" s="296" t="s">
        <v>119</v>
      </c>
      <c r="E31" s="299" t="s">
        <v>120</v>
      </c>
      <c r="F31" s="299" t="s">
        <v>120</v>
      </c>
    </row>
    <row r="32" spans="1:11" ht="18" customHeight="1" x14ac:dyDescent="0.2">
      <c r="A32" s="33" t="str">
        <f>OVERALL!A32</f>
        <v>CLARITY</v>
      </c>
      <c r="B32" s="3">
        <f>IF(C32=0,"-",COUNTIF(D32:F32,"y")/C32)</f>
        <v>0</v>
      </c>
      <c r="C32" s="26">
        <f>$C$2-COUNTIF(D32:F32, "-")</f>
        <v>3</v>
      </c>
      <c r="D32" s="296" t="s">
        <v>119</v>
      </c>
      <c r="E32" s="299" t="s">
        <v>119</v>
      </c>
      <c r="F32" s="299" t="s">
        <v>119</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48</v>
      </c>
    </row>
    <row r="35" spans="1:13" ht="18" customHeight="1" x14ac:dyDescent="0.2">
      <c r="A35" s="45" t="str">
        <f>OVERALL!A35</f>
        <v>AUDIO ISSUE (MAJOR IMPACT)</v>
      </c>
      <c r="B35" s="3">
        <f>IF(C35=0,"-",COUNTIF(D35:F35,"y")/C35)</f>
        <v>0</v>
      </c>
      <c r="C35" s="26">
        <f>$C$2-COUNTIF(D35:F35, "-")</f>
        <v>3</v>
      </c>
      <c r="D35" s="296" t="s">
        <v>119</v>
      </c>
      <c r="E35" s="299" t="s">
        <v>119</v>
      </c>
      <c r="F35" s="299" t="s">
        <v>119</v>
      </c>
      <c r="H35" s="48">
        <v>-0.3</v>
      </c>
      <c r="J35" s="48"/>
      <c r="K35" s="48"/>
      <c r="L35" s="48"/>
    </row>
    <row r="36" spans="1:13" ht="18" customHeight="1" x14ac:dyDescent="0.2">
      <c r="A36" s="45" t="str">
        <f>OVERALL!A36</f>
        <v>AUDIO ISSUE (DISTRACTION)</v>
      </c>
      <c r="B36" s="3">
        <f>IF(C36=0,"-",COUNTIF(D36:F36,"y")/C36)</f>
        <v>0</v>
      </c>
      <c r="C36" s="26">
        <f>$C$2-COUNTIF(D36:F36, "-")</f>
        <v>3</v>
      </c>
      <c r="D36" s="296" t="s">
        <v>119</v>
      </c>
      <c r="E36" s="299" t="s">
        <v>119</v>
      </c>
      <c r="F36" s="299" t="s">
        <v>119</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6" t="str">
        <f>OVERALL!A38</f>
        <v>ADDITIONAL INSIGHT</v>
      </c>
      <c r="B38" s="347"/>
      <c r="C38" s="10" t="s">
        <v>1</v>
      </c>
      <c r="D38" s="30"/>
      <c r="E38" s="30"/>
      <c r="F38" s="30"/>
    </row>
    <row r="39" spans="1:13" ht="18" customHeight="1" x14ac:dyDescent="0.2">
      <c r="A39" s="33" t="str">
        <f>OVERALL!A39</f>
        <v>CALL ANSWERED-QUALITY</v>
      </c>
      <c r="B39" s="3">
        <f>IF(C39=0,"-",COUNTIF(D39:F39, "y")/C39)</f>
        <v>1</v>
      </c>
      <c r="C39" s="26">
        <f>$C$2-COUNTIF(D39:F39, "-")</f>
        <v>3</v>
      </c>
      <c r="D39" s="296" t="s">
        <v>120</v>
      </c>
      <c r="E39" s="299" t="s">
        <v>120</v>
      </c>
      <c r="F39" s="299" t="s">
        <v>120</v>
      </c>
    </row>
    <row r="40" spans="1:13" ht="18" customHeight="1" x14ac:dyDescent="0.2">
      <c r="A40" s="33" t="str">
        <f>OVERALL!A40</f>
        <v>TALK TIME</v>
      </c>
      <c r="B40" s="286">
        <f>IF(C40=0,"-",AVERAGE(D40:F40))</f>
        <v>1.508487654320988E-3</v>
      </c>
      <c r="C40" s="26">
        <f>$C$2-COUNTIF(D40:F40, "-")</f>
        <v>3</v>
      </c>
      <c r="D40" s="286">
        <v>1.2037037037037038E-3</v>
      </c>
      <c r="E40" s="286">
        <v>1.2731481481481483E-3</v>
      </c>
      <c r="F40" s="286">
        <v>2.0486111111111113E-3</v>
      </c>
      <c r="G40" s="46"/>
      <c r="H40" s="261"/>
      <c r="I40" s="261"/>
      <c r="J40" s="261"/>
      <c r="K40" s="261"/>
      <c r="L40" s="261"/>
      <c r="M40" s="261"/>
    </row>
    <row r="41" spans="1:13" ht="18" customHeight="1" x14ac:dyDescent="0.2">
      <c r="A41" s="33" t="str">
        <f>OVERALL!A41</f>
        <v>ASSESSOR RATING (0-10)</v>
      </c>
      <c r="B41" s="259">
        <f>IF(C41=0,"-",SUM(D41:F41)/C41)</f>
        <v>4</v>
      </c>
      <c r="C41" s="26">
        <f>$C$2-COUNTIF(D41:F41, "-")</f>
        <v>3</v>
      </c>
      <c r="D41" s="278">
        <v>3</v>
      </c>
      <c r="E41" s="278">
        <v>4</v>
      </c>
      <c r="F41" s="278">
        <v>5</v>
      </c>
    </row>
    <row r="42" spans="1:13" ht="18" customHeight="1" x14ac:dyDescent="0.2">
      <c r="A42" s="33" t="str">
        <f>OVERALL!A42</f>
        <v>EXPLAINED KEY FEATURES</v>
      </c>
      <c r="B42" s="3">
        <f>IF(C42=0,"-",COUNTIF(D42:F42, "y")/C42)</f>
        <v>0</v>
      </c>
      <c r="C42" s="26">
        <f>$C$2-COUNTIF(D42:F42, "-")</f>
        <v>3</v>
      </c>
      <c r="D42" s="296" t="s">
        <v>119</v>
      </c>
      <c r="E42" s="299" t="s">
        <v>119</v>
      </c>
      <c r="F42" s="299" t="s">
        <v>119</v>
      </c>
      <c r="G42" s="47"/>
      <c r="H42" t="s">
        <v>1</v>
      </c>
    </row>
    <row r="43" spans="1:13" ht="18" customHeight="1" x14ac:dyDescent="0.2">
      <c r="A43" s="33" t="str">
        <f>OVERALL!A43</f>
        <v>REVEALED PRICING</v>
      </c>
      <c r="B43" s="3">
        <f>IF(C43=0,"-",COUNTIF(D43:F43, "y")/C43)</f>
        <v>0</v>
      </c>
      <c r="C43" s="26">
        <f>$C$2-COUNTIF(D43:F43, "-")</f>
        <v>3</v>
      </c>
      <c r="D43" s="296" t="s">
        <v>119</v>
      </c>
      <c r="E43" s="299" t="s">
        <v>119</v>
      </c>
      <c r="F43" s="299" t="s">
        <v>119</v>
      </c>
    </row>
    <row r="44" spans="1:13" ht="18" customHeight="1" x14ac:dyDescent="0.2">
      <c r="A44" s="33" t="str">
        <f>OVERALL!A44</f>
        <v>EXPLAINED ACTIONS &amp; PROCESS</v>
      </c>
      <c r="B44" s="3">
        <f>IF(C44=0,"-",COUNTIF(D44:F44, "y")/C44)</f>
        <v>1</v>
      </c>
      <c r="C44" s="26">
        <f>$C$2-COUNTIF(D44:F44, "-")</f>
        <v>3</v>
      </c>
      <c r="D44" s="296" t="s">
        <v>120</v>
      </c>
      <c r="E44" s="299" t="s">
        <v>120</v>
      </c>
      <c r="F44" s="299" t="s">
        <v>120</v>
      </c>
    </row>
    <row r="45" spans="1:13" ht="18" customHeight="1" x14ac:dyDescent="0.2">
      <c r="A45" s="33" t="str">
        <f>OVERALL!A45</f>
        <v>WEBSITE EDUCATION</v>
      </c>
      <c r="B45" s="3">
        <f>IF(C45=0,"-",COUNTIF(D45:F45, "y")/C45)</f>
        <v>0</v>
      </c>
      <c r="C45" s="26">
        <f>$C$2-COUNTIF(D45:F45, "-")</f>
        <v>3</v>
      </c>
      <c r="D45" s="296" t="s">
        <v>119</v>
      </c>
      <c r="E45" s="299" t="s">
        <v>119</v>
      </c>
      <c r="F45" s="299" t="s">
        <v>119</v>
      </c>
    </row>
    <row r="46" spans="1:13" ht="18" customHeight="1" x14ac:dyDescent="0.2">
      <c r="A46" s="18"/>
      <c r="B46" s="3"/>
      <c r="C46" s="26"/>
      <c r="D46" s="259"/>
      <c r="E46" s="259"/>
      <c r="F46" s="259"/>
    </row>
    <row r="47" spans="1:13" ht="90" x14ac:dyDescent="0.2">
      <c r="A47" s="25" t="s">
        <v>1</v>
      </c>
      <c r="B47" s="350" t="s">
        <v>35</v>
      </c>
      <c r="C47" s="351"/>
      <c r="D47" s="23" t="s">
        <v>132</v>
      </c>
      <c r="E47" s="23" t="s">
        <v>157</v>
      </c>
      <c r="F47" s="23" t="s">
        <v>142</v>
      </c>
    </row>
    <row r="48" spans="1:13" ht="18" customHeight="1" x14ac:dyDescent="0.2">
      <c r="A48" s="59" t="s">
        <v>45</v>
      </c>
      <c r="D48" s="50">
        <f t="shared" ref="D48:F48" si="9">IF(D$2="","",IF(D$39="n", "", SUM(D$6,D$12,D$17,D$23,D$28,D$34)))</f>
        <v>0.22916666666666663</v>
      </c>
      <c r="E48" s="50">
        <f t="shared" si="9"/>
        <v>0.39583333333333337</v>
      </c>
      <c r="F48" s="50">
        <f t="shared" si="9"/>
        <v>0.5541666666666667</v>
      </c>
    </row>
    <row r="50" spans="1:6" ht="19" x14ac:dyDescent="0.25">
      <c r="A50" s="110" t="s">
        <v>72</v>
      </c>
      <c r="B50" s="90" t="s">
        <v>73</v>
      </c>
    </row>
    <row r="51" spans="1:6" x14ac:dyDescent="0.2">
      <c r="A51" s="111" t="s">
        <v>61</v>
      </c>
      <c r="B51" s="112">
        <v>0.3</v>
      </c>
      <c r="C51" s="111"/>
      <c r="D51" s="252">
        <f>'[1]UNITING AGE WELL'!D$4</f>
        <v>0.95833333333333337</v>
      </c>
      <c r="E51" s="252">
        <f>'[1]UNITING AGE WELL'!E$4</f>
        <v>0.89583333333333337</v>
      </c>
      <c r="F51" s="252">
        <f>'[1]UNITING AGE WELL'!F$4</f>
        <v>0.92708333333333337</v>
      </c>
    </row>
    <row r="52" spans="1:6" x14ac:dyDescent="0.2">
      <c r="A52" s="111" t="s">
        <v>62</v>
      </c>
      <c r="B52" s="112">
        <v>0.7</v>
      </c>
      <c r="C52" s="111"/>
      <c r="D52" s="253">
        <f t="shared" ref="D52:F52" si="10">D4</f>
        <v>0.22916666666666663</v>
      </c>
      <c r="E52" s="253">
        <f t="shared" si="10"/>
        <v>0.39583333333333337</v>
      </c>
      <c r="F52" s="253">
        <f t="shared" si="10"/>
        <v>0.5541666666666667</v>
      </c>
    </row>
    <row r="53" spans="1:6" x14ac:dyDescent="0.2">
      <c r="A53" t="s">
        <v>1</v>
      </c>
      <c r="D53" s="49"/>
      <c r="E53" s="49"/>
      <c r="F53" s="49"/>
    </row>
    <row r="54" spans="1:6" x14ac:dyDescent="0.2">
      <c r="A54" s="113" t="s">
        <v>74</v>
      </c>
      <c r="D54" s="49"/>
      <c r="E54" s="49"/>
      <c r="F54" s="49"/>
    </row>
    <row r="55" spans="1:6" x14ac:dyDescent="0.2">
      <c r="A55" s="111" t="s">
        <v>61</v>
      </c>
      <c r="B55" s="111"/>
      <c r="C55" s="111"/>
      <c r="D55" s="253">
        <f>IF(D51="-","-",D51*$B$51)</f>
        <v>0.28749999999999998</v>
      </c>
      <c r="E55" s="253">
        <f t="shared" ref="E55:F55" si="11">IF(E51="-","-",E51*$B$51)</f>
        <v>0.26874999999999999</v>
      </c>
      <c r="F55" s="253">
        <f t="shared" si="11"/>
        <v>0.27812500000000001</v>
      </c>
    </row>
    <row r="56" spans="1:6" x14ac:dyDescent="0.2">
      <c r="A56" s="111" t="s">
        <v>62</v>
      </c>
      <c r="B56" s="111"/>
      <c r="C56" s="111"/>
      <c r="D56" s="253">
        <f t="shared" ref="D56:F56" si="12">IF(D52="-","-",D52*$B$52)</f>
        <v>0.16041666666666662</v>
      </c>
      <c r="E56" s="253">
        <f t="shared" si="12"/>
        <v>0.27708333333333335</v>
      </c>
      <c r="F56" s="253">
        <f t="shared" si="12"/>
        <v>0.38791666666666669</v>
      </c>
    </row>
    <row r="57" spans="1:6" x14ac:dyDescent="0.2">
      <c r="A57" s="114" t="s">
        <v>57</v>
      </c>
      <c r="B57" s="114"/>
      <c r="C57" s="114"/>
      <c r="D57" s="115">
        <f t="shared" ref="D57:F57" si="13">IF(D51="","",IF(D52="","",SUM(D55:D56)))</f>
        <v>0.44791666666666663</v>
      </c>
      <c r="E57" s="115">
        <f t="shared" si="13"/>
        <v>0.54583333333333339</v>
      </c>
      <c r="F57" s="115">
        <f t="shared" si="13"/>
        <v>0.66604166666666664</v>
      </c>
    </row>
  </sheetData>
  <mergeCells count="2">
    <mergeCell ref="A38:B38"/>
    <mergeCell ref="B47:C47"/>
  </mergeCells>
  <conditionalFormatting sqref="B4 D4:F4">
    <cfRule type="containsBlanks" dxfId="21" priority="6">
      <formula>LEN(TRIM(B4))=0</formula>
    </cfRule>
    <cfRule type="cellIs" dxfId="20" priority="7" operator="greaterThanOrEqual">
      <formula>0.905</formula>
    </cfRule>
    <cfRule type="cellIs" dxfId="19" priority="8" operator="between">
      <formula>0.754999</formula>
      <formula>0.905</formula>
    </cfRule>
    <cfRule type="cellIs" dxfId="18" priority="9" operator="between">
      <formula>0.604999</formula>
      <formula>0.754999</formula>
    </cfRule>
    <cfRule type="cellIs" dxfId="17" priority="10" operator="between">
      <formula>0.44999</formula>
      <formula>0.605</formula>
    </cfRule>
    <cfRule type="cellIs" dxfId="16" priority="11" operator="lessThan">
      <formula>0.45</formula>
    </cfRule>
  </conditionalFormatting>
  <conditionalFormatting sqref="B6">
    <cfRule type="containsText" dxfId="15" priority="5" operator="containsText" text="NA">
      <formula>NOT(ISERROR(SEARCH("NA",B6)))</formula>
    </cfRule>
  </conditionalFormatting>
  <conditionalFormatting sqref="B12">
    <cfRule type="containsText" dxfId="14" priority="4" operator="containsText" text="NA">
      <formula>NOT(ISERROR(SEARCH("NA",B12)))</formula>
    </cfRule>
  </conditionalFormatting>
  <conditionalFormatting sqref="B17">
    <cfRule type="containsText" dxfId="13" priority="3" operator="containsText" text="NA">
      <formula>NOT(ISERROR(SEARCH("NA",B17)))</formula>
    </cfRule>
  </conditionalFormatting>
  <conditionalFormatting sqref="B23">
    <cfRule type="containsText" dxfId="12" priority="2" operator="containsText" text="NA">
      <formula>NOT(ISERROR(SEARCH("NA",B23)))</formula>
    </cfRule>
  </conditionalFormatting>
  <conditionalFormatting sqref="B28">
    <cfRule type="containsText" dxfId="11" priority="1" operator="containsText" text="NA">
      <formula>NOT(ISERROR(SEARCH("NA",B28)))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 CARE</vt:lpstr>
      <vt:lpstr>BOLTON CLARKE</vt:lpstr>
      <vt:lpstr>HAMMONDCARE</vt:lpstr>
      <vt:lpstr>SILVER CHAIN</vt:lpstr>
      <vt:lpstr>UNITING AGE WELL</vt:lpstr>
      <vt:lpstr>UNITING NSW-ACT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2026-08-17T01:12:28Z</dcterms:modified>
</cp:coreProperties>
</file>